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ente\Desktop\PREFEITURA  MUNICIPAL DE ROSÁRIO DO SUL\MEIO AMBIENTE\OPERAÇÃO TRANSBORDO 2023\"/>
    </mc:Choice>
  </mc:AlternateContent>
  <xr:revisionPtr revIDLastSave="0" documentId="13_ncr:1_{912281B4-E6F5-4CAE-B617-E02AD0F71835}" xr6:coauthVersionLast="45" xr6:coauthVersionMax="45" xr10:uidLastSave="{00000000-0000-0000-0000-000000000000}"/>
  <bookViews>
    <workbookView xWindow="-120" yWindow="-120" windowWidth="20730" windowHeight="11160" tabRatio="802" xr2:uid="{00000000-000D-0000-FFFF-FFFF00000000}"/>
  </bookViews>
  <sheets>
    <sheet name="Operação transbordo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7. Dimensionamento" sheetId="9" r:id="rId7"/>
  </sheets>
  <definedNames>
    <definedName name="AbaDeprec">'5. Depreciação'!$A$1</definedName>
    <definedName name="AbaRemun">'6.Remuneração de capital'!$A$1</definedName>
    <definedName name="_xlnm.Print_Area" localSheetId="1">'2.Encargos Sociais'!$A$1:$C$39</definedName>
    <definedName name="_xlnm.Print_Area" localSheetId="0">'Operação transbordo'!$A$1:$F$301</definedName>
    <definedName name="_xlnm.Print_Titles" localSheetId="0">'Operação transbordo'!$1:$8</definedName>
  </definedNames>
  <calcPr calcId="181029"/>
</workbook>
</file>

<file path=xl/calcChain.xml><?xml version="1.0" encoding="utf-8"?>
<calcChain xmlns="http://schemas.openxmlformats.org/spreadsheetml/2006/main">
  <c r="D206" i="2" l="1"/>
  <c r="C213" i="2"/>
  <c r="C253" i="2" l="1"/>
  <c r="E250" i="2"/>
  <c r="D252" i="2" s="1"/>
  <c r="E252" i="2" s="1"/>
  <c r="E249" i="2"/>
  <c r="D251" i="2" s="1"/>
  <c r="E251" i="2" s="1"/>
  <c r="D230" i="2"/>
  <c r="C21" i="9"/>
  <c r="C27" i="5"/>
  <c r="C219" i="2"/>
  <c r="E219" i="2"/>
  <c r="C218" i="2"/>
  <c r="C220" i="2"/>
  <c r="A35" i="2"/>
  <c r="A34" i="2"/>
  <c r="A33" i="2"/>
  <c r="A25" i="2"/>
  <c r="A24" i="2"/>
  <c r="A16" i="2"/>
  <c r="C13" i="9"/>
  <c r="C14" i="9" s="1"/>
  <c r="C194" i="2"/>
  <c r="E45" i="2"/>
  <c r="E44" i="2"/>
  <c r="C135" i="2" s="1"/>
  <c r="E135" i="2" s="1"/>
  <c r="E43" i="2"/>
  <c r="E42" i="2"/>
  <c r="E140" i="2" s="1"/>
  <c r="F142" i="2" s="1"/>
  <c r="E49" i="2"/>
  <c r="C208" i="2"/>
  <c r="D238" i="2"/>
  <c r="D236" i="2"/>
  <c r="D234" i="2"/>
  <c r="D232" i="2"/>
  <c r="D168" i="2"/>
  <c r="E168" i="2" s="1"/>
  <c r="E152" i="2"/>
  <c r="E153" i="2"/>
  <c r="E154" i="2"/>
  <c r="E155" i="2"/>
  <c r="E156" i="2"/>
  <c r="E157" i="2"/>
  <c r="E158" i="2"/>
  <c r="E159" i="2"/>
  <c r="E160" i="2"/>
  <c r="E151" i="2"/>
  <c r="D60" i="2"/>
  <c r="E60" i="2" s="1"/>
  <c r="D59" i="2"/>
  <c r="E59" i="2" s="1"/>
  <c r="D92" i="2"/>
  <c r="E92" i="2" s="1"/>
  <c r="C111" i="2"/>
  <c r="C114" i="2"/>
  <c r="D93" i="2"/>
  <c r="E93" i="2" s="1"/>
  <c r="C79" i="2"/>
  <c r="C76" i="2"/>
  <c r="D106" i="2"/>
  <c r="A32" i="2"/>
  <c r="A31" i="2"/>
  <c r="A30" i="2"/>
  <c r="A29" i="2"/>
  <c r="A28" i="2"/>
  <c r="A27" i="2"/>
  <c r="A26" i="2"/>
  <c r="A23" i="2"/>
  <c r="A22" i="2"/>
  <c r="A21" i="2"/>
  <c r="A20" i="2"/>
  <c r="A19" i="2"/>
  <c r="A18" i="2"/>
  <c r="A17" i="2"/>
  <c r="C20" i="8"/>
  <c r="E278" i="2"/>
  <c r="E222" i="2"/>
  <c r="E214" i="2"/>
  <c r="E198" i="2"/>
  <c r="E176" i="2"/>
  <c r="E163" i="2"/>
  <c r="E142" i="2"/>
  <c r="E122" i="2"/>
  <c r="E101" i="2"/>
  <c r="E86" i="2"/>
  <c r="E67" i="2"/>
  <c r="E202" i="2"/>
  <c r="C15" i="4"/>
  <c r="C20" i="4"/>
  <c r="C287" i="2" s="1"/>
  <c r="F13" i="4"/>
  <c r="E13" i="4"/>
  <c r="D13" i="4"/>
  <c r="C17" i="8"/>
  <c r="C29" i="5"/>
  <c r="C30" i="5" s="1"/>
  <c r="C31" i="8" s="1"/>
  <c r="C117" i="2"/>
  <c r="C108" i="2"/>
  <c r="D105" i="2"/>
  <c r="D109" i="2" s="1"/>
  <c r="E109" i="2" s="1"/>
  <c r="E90" i="2"/>
  <c r="D129" i="2" s="1"/>
  <c r="E129" i="2" s="1"/>
  <c r="C230" i="2"/>
  <c r="C236" i="2" s="1"/>
  <c r="E236" i="2" s="1"/>
  <c r="E186" i="2"/>
  <c r="C204" i="2" s="1"/>
  <c r="D189" i="2"/>
  <c r="E189" i="2" s="1"/>
  <c r="D190" i="2" s="1"/>
  <c r="E190" i="2" s="1"/>
  <c r="D207" i="2"/>
  <c r="C195" i="2"/>
  <c r="C190" i="2"/>
  <c r="C73" i="2"/>
  <c r="D71" i="2"/>
  <c r="D79" i="2" s="1"/>
  <c r="C274" i="2"/>
  <c r="C276" i="2" s="1"/>
  <c r="E276" i="2" s="1"/>
  <c r="D277" i="2" s="1"/>
  <c r="E277" i="2" s="1"/>
  <c r="C191" i="2"/>
  <c r="C207" i="2" s="1"/>
  <c r="E207" i="2" s="1"/>
  <c r="A43" i="2"/>
  <c r="A44" i="2"/>
  <c r="A45" i="2"/>
  <c r="A49" i="2"/>
  <c r="E58" i="2"/>
  <c r="D128" i="2" s="1"/>
  <c r="E128" i="2" s="1"/>
  <c r="C81" i="2"/>
  <c r="A135" i="2"/>
  <c r="E161" i="2"/>
  <c r="D169" i="2"/>
  <c r="E169" i="2" s="1"/>
  <c r="D170" i="2"/>
  <c r="E170" i="2" s="1"/>
  <c r="D171" i="2"/>
  <c r="E171" i="2" s="1"/>
  <c r="D172" i="2"/>
  <c r="E172" i="2"/>
  <c r="D173" i="2"/>
  <c r="E173" i="2" s="1"/>
  <c r="E174" i="2"/>
  <c r="E220" i="2"/>
  <c r="E262" i="2"/>
  <c r="E265" i="2"/>
  <c r="E266" i="2"/>
  <c r="E263" i="2"/>
  <c r="E264" i="2"/>
  <c r="E218" i="2"/>
  <c r="D117" i="2"/>
  <c r="E274" i="2" l="1"/>
  <c r="D275" i="2" s="1"/>
  <c r="E275" i="2" s="1"/>
  <c r="D111" i="2"/>
  <c r="E111" i="2" s="1"/>
  <c r="D112" i="2"/>
  <c r="E112" i="2" s="1"/>
  <c r="D114" i="2"/>
  <c r="E114" i="2" s="1"/>
  <c r="D108" i="2"/>
  <c r="E108" i="2" s="1"/>
  <c r="E105" i="2"/>
  <c r="E141" i="2"/>
  <c r="E23" i="2" s="1"/>
  <c r="E79" i="2"/>
  <c r="E71" i="2"/>
  <c r="E117" i="2"/>
  <c r="D175" i="2"/>
  <c r="E175" i="2" s="1"/>
  <c r="F176" i="2" s="1"/>
  <c r="D162" i="2"/>
  <c r="F222" i="2"/>
  <c r="E29" i="2" s="1"/>
  <c r="D73" i="2"/>
  <c r="E73" i="2" s="1"/>
  <c r="C205" i="2"/>
  <c r="E206" i="2" s="1"/>
  <c r="C15" i="9"/>
  <c r="C17" i="9"/>
  <c r="C22" i="9" s="1"/>
  <c r="C24" i="9" s="1"/>
  <c r="C234" i="2"/>
  <c r="E234" i="2" s="1"/>
  <c r="D76" i="2"/>
  <c r="E76" i="2" s="1"/>
  <c r="E230" i="2"/>
  <c r="C31" i="5"/>
  <c r="E191" i="2"/>
  <c r="C232" i="2"/>
  <c r="E232" i="2" s="1"/>
  <c r="C244" i="2"/>
  <c r="E244" i="2" s="1"/>
  <c r="F245" i="2" s="1"/>
  <c r="E31" i="2" s="1"/>
  <c r="D239" i="2"/>
  <c r="C238" i="2"/>
  <c r="E238" i="2" s="1"/>
  <c r="D253" i="2"/>
  <c r="E253" i="2" s="1"/>
  <c r="F254" i="2" s="1"/>
  <c r="E32" i="2" s="1"/>
  <c r="F267" i="2"/>
  <c r="F269" i="2" s="1"/>
  <c r="E33" i="2" s="1"/>
  <c r="F278" i="2"/>
  <c r="F280" i="2" s="1"/>
  <c r="E34" i="2" s="1"/>
  <c r="D94" i="2"/>
  <c r="E94" i="2" s="1"/>
  <c r="D96" i="2" s="1"/>
  <c r="E96" i="2" s="1"/>
  <c r="E97" i="2" s="1"/>
  <c r="F130" i="2"/>
  <c r="E21" i="2" s="1"/>
  <c r="E46" i="2"/>
  <c r="C162" i="2"/>
  <c r="E162" i="2" s="1"/>
  <c r="F163" i="2" s="1"/>
  <c r="C134" i="2"/>
  <c r="E134" i="2" s="1"/>
  <c r="F136" i="2" s="1"/>
  <c r="E22" i="2" s="1"/>
  <c r="D61" i="2"/>
  <c r="E61" i="2" s="1"/>
  <c r="D62" i="2" s="1"/>
  <c r="E62" i="2" s="1"/>
  <c r="D74" i="2"/>
  <c r="E74" i="2" s="1"/>
  <c r="D77" i="2"/>
  <c r="E77" i="2" s="1"/>
  <c r="D115" i="2" l="1"/>
  <c r="E115" i="2" s="1"/>
  <c r="E118" i="2" s="1"/>
  <c r="D119" i="2" s="1"/>
  <c r="F178" i="2"/>
  <c r="E24" i="2" s="1"/>
  <c r="F240" i="2"/>
  <c r="E30" i="2" s="1"/>
  <c r="D194" i="2"/>
  <c r="E194" i="2" s="1"/>
  <c r="D195" i="2" s="1"/>
  <c r="E195" i="2" s="1"/>
  <c r="E196" i="2" s="1"/>
  <c r="D197" i="2" s="1"/>
  <c r="E197" i="2" s="1"/>
  <c r="F198" i="2" s="1"/>
  <c r="C209" i="2"/>
  <c r="C210" i="2" s="1"/>
  <c r="D211" i="2" s="1"/>
  <c r="E211" i="2" s="1"/>
  <c r="E212" i="2" s="1"/>
  <c r="D213" i="2" s="1"/>
  <c r="E213" i="2" s="1"/>
  <c r="F214" i="2" s="1"/>
  <c r="E28" i="2" s="1"/>
  <c r="C37" i="5"/>
  <c r="C27" i="8" s="1"/>
  <c r="C32" i="5"/>
  <c r="C30" i="8"/>
  <c r="D98" i="2"/>
  <c r="E63" i="2"/>
  <c r="D80" i="2"/>
  <c r="E80" i="2" s="1"/>
  <c r="D81" i="2" s="1"/>
  <c r="E81" i="2" s="1"/>
  <c r="E82" i="2" s="1"/>
  <c r="C28" i="8" l="1"/>
  <c r="C29" i="8" s="1"/>
  <c r="C32" i="8" s="1"/>
  <c r="C19" i="8"/>
  <c r="C25" i="8" s="1"/>
  <c r="C34" i="8" s="1"/>
  <c r="C36" i="8" s="1"/>
  <c r="C35" i="8"/>
  <c r="E27" i="2"/>
  <c r="E26" i="2" s="1"/>
  <c r="F257" i="2"/>
  <c r="E25" i="2" s="1"/>
  <c r="D83" i="2"/>
  <c r="D64" i="2"/>
  <c r="C37" i="8" l="1"/>
  <c r="C119" i="2" l="1"/>
  <c r="E119" i="2" s="1"/>
  <c r="E120" i="2" s="1"/>
  <c r="D121" i="2" s="1"/>
  <c r="E121" i="2" s="1"/>
  <c r="F122" i="2" s="1"/>
  <c r="C83" i="2"/>
  <c r="E83" i="2" s="1"/>
  <c r="E84" i="2" s="1"/>
  <c r="D85" i="2" s="1"/>
  <c r="E85" i="2" s="1"/>
  <c r="F86" i="2" s="1"/>
  <c r="E18" i="2" s="1"/>
  <c r="C98" i="2"/>
  <c r="E98" i="2" s="1"/>
  <c r="E99" i="2" s="1"/>
  <c r="D100" i="2" s="1"/>
  <c r="E100" i="2" s="1"/>
  <c r="F101" i="2" s="1"/>
  <c r="E19" i="2" s="1"/>
  <c r="C64" i="2"/>
  <c r="E64" i="2" s="1"/>
  <c r="E65" i="2" s="1"/>
  <c r="D66" i="2" s="1"/>
  <c r="E66" i="2" s="1"/>
  <c r="F67" i="2" s="1"/>
  <c r="E17" i="2" s="1"/>
  <c r="E20" i="2" l="1"/>
  <c r="F144" i="2"/>
  <c r="E16" i="2" l="1"/>
  <c r="F282" i="2"/>
  <c r="D287" i="2" l="1"/>
  <c r="E287" i="2" s="1"/>
  <c r="F288" i="2" s="1"/>
  <c r="F290" i="2" s="1"/>
  <c r="E35" i="2" s="1"/>
  <c r="E37" i="2" s="1"/>
  <c r="F292" i="2" l="1"/>
  <c r="F297" i="2" s="1"/>
  <c r="F30" i="2"/>
  <c r="F36" i="2"/>
  <c r="F18" i="2"/>
  <c r="F26" i="2"/>
  <c r="F34" i="2"/>
  <c r="F35" i="2"/>
  <c r="F27" i="2"/>
  <c r="F22" i="2"/>
  <c r="F32" i="2"/>
  <c r="F19" i="2"/>
  <c r="F21" i="2"/>
  <c r="F24" i="2"/>
  <c r="F29" i="2"/>
  <c r="F16" i="2"/>
  <c r="F23" i="2"/>
  <c r="F33" i="2"/>
  <c r="F17" i="2"/>
  <c r="F28" i="2"/>
  <c r="F25" i="2"/>
  <c r="F20" i="2"/>
  <c r="F31" i="2"/>
  <c r="F3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  <author>tc={F3C89A51-EF51-4ACA-9546-4947FC29797E}</author>
  </authors>
  <commentList>
    <comment ref="A14" authorId="0" shapeId="0" xr:uid="{00000000-0006-0000-0000-000001000000}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8" authorId="0" shapeId="0" xr:uid="{00000000-0006-0000-0000-000003000000}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59" authorId="0" shapeId="0" xr:uid="{00000000-0006-0000-0000-000004000000}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61" authorId="0" shapeId="0" xr:uid="{00000000-0006-0000-0000-000006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66" authorId="0" shapeId="0" xr:uid="{00000000-0006-0000-0000-000008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72" authorId="0" shapeId="0" xr:uid="{00000000-0006-0000-0000-000009000000}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74" authorId="0" shapeId="0" xr:uid="{00000000-0006-0000-0000-00000A000000}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75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77" authorId="0" shapeId="0" xr:uid="{00000000-0006-0000-0000-00000C000000}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78" authorId="0" shapeId="0" xr:uid="{00000000-0006-0000-0000-00000D000000}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80" authorId="0" shapeId="0" xr:uid="{00000000-0006-0000-0000-00000E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3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5" authorId="0" shapeId="0" xr:uid="{00000000-0006-0000-0000-000010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90" authorId="0" shapeId="0" xr:uid="{00000000-0006-0000-0000-000011000000}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91" authorId="0" shapeId="0" xr:uid="{00000000-0006-0000-0000-000012000000}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92" authorId="0" shapeId="0" xr:uid="{00000000-0006-0000-0000-000013000000}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93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94" authorId="0" shapeId="0" xr:uid="{00000000-0006-0000-0000-000015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5" authorId="0" shapeId="0" xr:uid="{00000000-0006-0000-0000-000016000000}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96" authorId="0" shapeId="0" xr:uid="{00000000-0006-0000-0000-000017000000}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98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00" authorId="0" shapeId="0" xr:uid="{00000000-0006-0000-0000-000019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107" authorId="0" shapeId="0" xr:uid="{00000000-0006-0000-0000-00001A000000}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109" authorId="0" shapeId="0" xr:uid="{00000000-0006-0000-0000-00001B000000}">
      <text>
        <r>
          <rPr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110" authorId="0" shapeId="0" xr:uid="{00000000-0006-0000-0000-00001C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112" authorId="0" shapeId="0" xr:uid="{00000000-0006-0000-0000-00001D000000}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113" authorId="0" shapeId="0" xr:uid="{00000000-0006-0000-0000-00001E000000}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115" authorId="0" shapeId="0" xr:uid="{00000000-0006-0000-0000-00001F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6" authorId="0" shapeId="0" xr:uid="{00000000-0006-0000-0000-000020000000}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19" authorId="0" shapeId="0" xr:uid="{00000000-0006-0000-0000-000021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21" authorId="0" shapeId="0" xr:uid="{00000000-0006-0000-0000-000022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26" authorId="0" shapeId="0" xr:uid="{00000000-0006-0000-0000-000023000000}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127" authorId="0" shapeId="0" xr:uid="{00000000-0006-0000-0000-000024000000}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128" authorId="0" shapeId="0" xr:uid="{00000000-0006-0000-0000-000025000000}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29" authorId="0" shapeId="0" xr:uid="{00000000-0006-0000-0000-000026000000}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134" authorId="0" shapeId="0" xr:uid="{00000000-0006-0000-0000-000027000000}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35" authorId="0" shapeId="0" xr:uid="{00000000-0006-0000-0000-000028000000}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40" authorId="0" shapeId="0" xr:uid="{00000000-0006-0000-0000-000029000000}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41" authorId="0" shapeId="0" xr:uid="{00000000-0006-0000-0000-00002A000000}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151" authorId="0" shapeId="0" xr:uid="{00000000-0006-0000-0000-00002B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1" authorId="0" shapeId="0" xr:uid="{00000000-0006-0000-0000-00002C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2" authorId="0" shapeId="0" xr:uid="{00000000-0006-0000-0000-00002D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2" authorId="0" shapeId="0" xr:uid="{00000000-0006-0000-0000-00002E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3" authorId="0" shapeId="0" xr:uid="{00000000-0006-0000-0000-00002F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3" authorId="0" shapeId="0" xr:uid="{00000000-0006-0000-0000-000030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4" authorId="0" shapeId="0" xr:uid="{00000000-0006-0000-0000-000031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4" authorId="0" shapeId="0" xr:uid="{00000000-0006-0000-0000-000032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5" authorId="0" shapeId="0" xr:uid="{00000000-0006-0000-0000-000033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5" authorId="0" shapeId="0" xr:uid="{00000000-0006-0000-0000-000034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6" authorId="0" shapeId="0" xr:uid="{00000000-0006-0000-0000-000035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6" authorId="0" shapeId="0" xr:uid="{00000000-0006-0000-0000-000036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7" authorId="0" shapeId="0" xr:uid="{00000000-0006-0000-0000-000037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7" authorId="0" shapeId="0" xr:uid="{00000000-0006-0000-0000-000038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8" authorId="0" shapeId="0" xr:uid="{00000000-0006-0000-0000-000039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8" authorId="0" shapeId="0" xr:uid="{00000000-0006-0000-0000-00003A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9" authorId="0" shapeId="0" xr:uid="{00000000-0006-0000-0000-00003B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9" authorId="0" shapeId="0" xr:uid="{00000000-0006-0000-0000-00003C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60" authorId="0" shapeId="0" xr:uid="{00000000-0006-0000-0000-00003D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60" authorId="0" shapeId="0" xr:uid="{00000000-0006-0000-0000-00003E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61" authorId="0" shapeId="0" xr:uid="{00000000-0006-0000-0000-00003F000000}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168" authorId="0" shapeId="0" xr:uid="{00000000-0006-0000-0000-000040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69" authorId="0" shapeId="0" xr:uid="{00000000-0006-0000-0000-000041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0" authorId="0" shapeId="0" xr:uid="{00000000-0006-0000-0000-000042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1" authorId="0" shapeId="0" xr:uid="{00000000-0006-0000-0000-000043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2" authorId="0" shapeId="0" xr:uid="{00000000-0006-0000-0000-000044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3" authorId="0" shapeId="0" xr:uid="{00000000-0006-0000-0000-000045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74" authorId="0" shapeId="0" xr:uid="{00000000-0006-0000-0000-000046000000}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86" authorId="0" shapeId="0" xr:uid="{00000000-0006-0000-0000-000047000000}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87" authorId="0" shapeId="0" xr:uid="{00000000-0006-0000-0000-000048000000}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88" authorId="0" shapeId="0" xr:uid="{00000000-0006-0000-0000-000049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89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1" authorId="0" shapeId="0" xr:uid="{00000000-0006-0000-0000-00004B000000}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92" authorId="0" shapeId="0" xr:uid="{00000000-0006-0000-0000-00004C000000}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93" authorId="0" shapeId="0" xr:uid="{00000000-0006-0000-0000-00004D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94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7" authorId="0" shapeId="0" xr:uid="{00000000-0006-0000-0000-00004F000000}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203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9" authorId="0" shapeId="0" xr:uid="{00000000-0006-0000-0000-000051000000}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220" authorId="0" shapeId="0" xr:uid="{00000000-0006-0000-0000-000052000000}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226" authorId="0" shapeId="0" xr:uid="{00000000-0006-0000-0000-000053000000}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229" authorId="0" shapeId="0" xr:uid="{00000000-0006-0000-0000-000054000000}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29" authorId="0" shapeId="0" xr:uid="{00000000-0006-0000-0000-000055000000}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31" authorId="0" shapeId="0" xr:uid="{00000000-0006-0000-0000-000056000000}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31" authorId="0" shapeId="0" xr:uid="{00000000-0006-0000-0000-000057000000}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233" authorId="0" shapeId="0" xr:uid="{00000000-0006-0000-0000-000058000000}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33" authorId="0" shapeId="0" xr:uid="{00000000-0006-0000-0000-000059000000}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235" authorId="0" shapeId="0" xr:uid="{00000000-0006-0000-0000-00005A000000}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235" authorId="0" shapeId="0" xr:uid="{00000000-0006-0000-0000-00005B000000}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37" authorId="0" shapeId="0" xr:uid="{00000000-0006-0000-0000-00005C000000}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37" authorId="0" shapeId="0" xr:uid="{00000000-0006-0000-0000-00005D000000}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44" authorId="0" shapeId="0" xr:uid="{00000000-0006-0000-0000-00005E000000}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49" authorId="0" shapeId="0" xr:uid="{00000000-0006-0000-0000-00005F000000}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49" authorId="0" shapeId="0" xr:uid="{00000000-0006-0000-0000-000060000000}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50" authorId="0" shapeId="0" xr:uid="{00000000-0006-0000-0000-000061000000}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50" authorId="1" shapeId="0" xr:uid="{00000000-0006-0000-0000-000062000000}">
      <text>
        <r>
          <rPr>
            <sz val="10"/>
            <rFont val="Arial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preço unitário do pneu</t>
        </r>
      </text>
    </comment>
    <comment ref="D251" authorId="0" shapeId="0" xr:uid="{00000000-0006-0000-0000-000063000000}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52" authorId="0" shapeId="0" xr:uid="{00000000-0006-0000-0000-000064000000}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C262" authorId="0" shapeId="0" xr:uid="{00000000-0006-0000-0000-000065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2" authorId="0" shapeId="0" xr:uid="{00000000-0006-0000-0000-000066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3" authorId="0" shapeId="0" xr:uid="{00000000-0006-0000-0000-000067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3" authorId="0" shapeId="0" xr:uid="{00000000-0006-0000-0000-000068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4" authorId="0" shapeId="0" xr:uid="{00000000-0006-0000-0000-000069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4" authorId="0" shapeId="0" xr:uid="{00000000-0006-0000-0000-00006A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5" authorId="0" shapeId="0" xr:uid="{00000000-0006-0000-0000-00006B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5" authorId="0" shapeId="0" xr:uid="{00000000-0006-0000-0000-00006C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6" authorId="0" shapeId="0" xr:uid="{00000000-0006-0000-0000-00006D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6" authorId="0" shapeId="0" xr:uid="{00000000-0006-0000-0000-00006E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71" authorId="0" shapeId="0" xr:uid="{00000000-0006-0000-0000-00006F000000}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4" authorId="0" shapeId="0" xr:uid="{00000000-0006-0000-0000-000070000000}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D276" authorId="0" shapeId="0" xr:uid="{00000000-0006-0000-0000-000071000000}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287" authorId="0" shapeId="0" xr:uid="{00000000-0006-0000-0000-000072000000}">
      <text>
        <r>
          <rPr>
            <sz val="9"/>
            <color indexed="81"/>
            <rFont val="Tahoma"/>
            <family val="2"/>
          </rPr>
          <t>Preencher a aba 4.BDI</t>
        </r>
      </text>
    </comment>
    <comment ref="D295" authorId="0" shapeId="0" xr:uid="{00000000-0006-0000-0000-000073000000}">
      <text>
        <r>
          <rPr>
            <sz val="9"/>
            <color indexed="81"/>
            <rFont val="Tahoma"/>
            <family val="2"/>
          </rPr>
          <t xml:space="preserve">Informar a quantidade média coletada nos últimos 12 meses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C1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cbridi</author>
    <author>Clauber Bridi</author>
    <author>Omar</author>
  </authors>
  <commentList>
    <comment ref="C12" authorId="0" shapeId="0" xr:uid="{00000000-0006-0000-0600-000001000000}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3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4" authorId="2" shapeId="0" xr:uid="{00000000-0006-0000-0600-000003000000}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6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Informe o número de dias de coleta por semana</t>
        </r>
      </text>
    </comment>
    <comment ref="C19" authorId="0" shapeId="0" xr:uid="{00000000-0006-0000-0600-000005000000}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20" authorId="0" shapeId="0" xr:uid="{00000000-0006-0000-0600-000006000000}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3" authorId="1" shapeId="0" xr:uid="{00000000-0006-0000-0600-000007000000}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<sst xmlns="http://schemas.openxmlformats.org/spreadsheetml/2006/main" count="591" uniqueCount="323">
  <si>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</si>
  <si>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</si>
  <si>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</si>
  <si>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</si>
  <si>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</si>
  <si>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</si>
  <si>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</si>
  <si>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</si>
  <si>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</si>
  <si>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</si>
  <si>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</si>
  <si>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Colete reflexivo</t>
  </si>
  <si>
    <t>IPVA</t>
  </si>
  <si>
    <t>Seguro contra terceiros</t>
  </si>
  <si>
    <t>Impostos e seguros mensais</t>
  </si>
  <si>
    <t>Custo mensal com óleo diesel</t>
  </si>
  <si>
    <t>Custo mensal com óleo do motor</t>
  </si>
  <si>
    <t>Custo mensal com óleo da transmissão</t>
  </si>
  <si>
    <t>Custo mensal com óleo hidráulico</t>
  </si>
  <si>
    <t>Custo de graxa /1.000 km rodados</t>
  </si>
  <si>
    <t>Custo mensal com graxa</t>
  </si>
  <si>
    <t>toneladas</t>
  </si>
  <si>
    <t>Pá de Concha</t>
  </si>
  <si>
    <t>Vassoura</t>
  </si>
  <si>
    <t>Calça</t>
  </si>
  <si>
    <t>Camiseta</t>
  </si>
  <si>
    <t>Boné</t>
  </si>
  <si>
    <t>Luva de proteção</t>
  </si>
  <si>
    <t>R$/tonelada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</si>
  <si>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</si>
  <si>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</si>
  <si>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</si>
  <si>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</si>
  <si>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</si>
  <si>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</si>
  <si>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</si>
  <si>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</si>
  <si>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</si>
  <si>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</si>
  <si>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</si>
  <si>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</si>
  <si>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</si>
  <si>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</si>
  <si>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</si>
  <si>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</si>
  <si>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</si>
  <si>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</si>
  <si>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</si>
  <si>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</si>
  <si>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</si>
  <si>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</si>
  <si>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</si>
  <si>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Publicidade (adesivos equipamentos)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</si>
  <si>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</si>
  <si>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</si>
  <si>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</si>
  <si>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</si>
  <si>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</si>
  <si>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</si>
  <si>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</si>
  <si>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</si>
  <si>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</si>
  <si>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</si>
  <si>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</si>
  <si>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</si>
  <si>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</si>
  <si>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PREÇO POR TONELADA COLETADA:  [A/B]</t>
  </si>
  <si>
    <t>Recipiente térmico para água (5L)</t>
  </si>
  <si>
    <t>Total por 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</si>
  <si>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</si>
  <si>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</si>
  <si>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</si>
  <si>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</si>
  <si>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</si>
  <si>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</si>
  <si>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</si>
  <si>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</si>
  <si>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</si>
  <si>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</si>
  <si>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</si>
  <si>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</si>
  <si>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</si>
  <si>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</si>
  <si>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</si>
  <si>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</si>
  <si>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6. Benefícios e Despesas Indiretas - BDI</t>
  </si>
  <si>
    <t>1.2. Coletor Turno Noite</t>
  </si>
  <si>
    <t>Vale Transporte</t>
  </si>
  <si>
    <t>Dias Trabalhados por mês</t>
  </si>
  <si>
    <t>dia</t>
  </si>
  <si>
    <t>Custo Mensal com Mão-de-obra (R$/mês)</t>
  </si>
  <si>
    <t>Meia de algodão com cano alto</t>
  </si>
  <si>
    <t>Quantitativos</t>
  </si>
  <si>
    <t>horas trabalhadas</t>
  </si>
  <si>
    <t>Horas Extras Noturnas (100%)</t>
  </si>
  <si>
    <t>1.4. Motorista Turno Noite</t>
  </si>
  <si>
    <t>hora contabilizada</t>
  </si>
  <si>
    <t>1.5. Vale Transporte</t>
  </si>
  <si>
    <t>Vida útil do chassis</t>
  </si>
  <si>
    <t>anos</t>
  </si>
  <si>
    <t>Vida útil do compactador</t>
  </si>
  <si>
    <t>Depreciação do compactador</t>
  </si>
  <si>
    <t>Depreciação do chassis</t>
  </si>
  <si>
    <t>Custo de aquisição do compactador</t>
  </si>
  <si>
    <t>Custo de aquisição do chassis</t>
  </si>
  <si>
    <t>Depreciação mensal do compactador</t>
  </si>
  <si>
    <t>i = taxa de juros do mercado (sugere-se adotar a taxa SELIC)</t>
  </si>
  <si>
    <t>n = vida útil do bem em anos</t>
  </si>
  <si>
    <t>Custo do chassis</t>
  </si>
  <si>
    <t>Custo do compactador</t>
  </si>
  <si>
    <t>3.1.2. Remuneração do Capital</t>
  </si>
  <si>
    <t>Im = investimento médio</t>
  </si>
  <si>
    <t>Remuneração mensal de capital do compactador</t>
  </si>
  <si>
    <t>Investimento médio total do chassis</t>
  </si>
  <si>
    <t>Remuneração mensal de capital do chassis</t>
  </si>
  <si>
    <t>Investimento médio total do compactador</t>
  </si>
  <si>
    <t>R$/km rodado</t>
  </si>
  <si>
    <t>1.6. Vale-refeição (diário)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</si>
  <si>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</si>
  <si>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</si>
  <si>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</si>
  <si>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</si>
  <si>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</si>
  <si>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</si>
  <si>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</si>
  <si>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</si>
  <si>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</si>
  <si>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</si>
  <si>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</si>
  <si>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</si>
  <si>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</si>
  <si>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</si>
  <si>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</si>
  <si>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</si>
  <si>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</si>
  <si>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</si>
  <si>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</si>
  <si>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</si>
  <si>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</si>
  <si>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</si>
  <si>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</si>
  <si>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</si>
  <si>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</si>
  <si>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</si>
  <si>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</si>
  <si>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</si>
  <si>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</si>
  <si>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</si>
  <si>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</si>
  <si>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</si>
  <si>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</si>
  <si>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</si>
  <si>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</si>
  <si>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</si>
  <si>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</si>
  <si>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</si>
  <si>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</si>
  <si>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</si>
  <si>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</si>
  <si>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</si>
  <si>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</si>
  <si>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</si>
  <si>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</si>
  <si>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</si>
  <si>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</si>
  <si>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</si>
  <si>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</si>
  <si>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</si>
  <si>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</si>
  <si>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</si>
  <si>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</si>
  <si>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</si>
  <si>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</si>
  <si>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</si>
  <si>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</si>
  <si>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</si>
  <si>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</si>
  <si>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</si>
  <si>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</si>
  <si>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</si>
  <si>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</si>
  <si>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</si>
  <si>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</si>
  <si>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</si>
  <si>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</si>
  <si>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</si>
  <si>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</si>
  <si>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</si>
  <si>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</si>
  <si>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</si>
  <si>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</si>
  <si>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</si>
  <si>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Higienização de uniformes e EPIs</t>
  </si>
  <si>
    <t>2.2. Uniformes e EPIs para demais categorias</t>
  </si>
  <si>
    <t>Custo Mensal com Uniformes e EPIs (R$/mês)</t>
  </si>
  <si>
    <t>Descrição do Item</t>
  </si>
  <si>
    <t>Orçamento Sintético</t>
  </si>
  <si>
    <t>Orientações para preenchimento:</t>
  </si>
  <si>
    <t>Excluir esta linha caso a contratação seja por preço global mensal</t>
  </si>
  <si>
    <t>Rio Grande do Sul  - Coleta de Resíduos Não-Perigosos - CNAE 38114</t>
  </si>
  <si>
    <t xml:space="preserve">1. Acesse o Portal do CAGED no link http://bi.mte.gov.br/cagedestabelecimento/pages/consulta.xhtml </t>
  </si>
  <si>
    <t>3. Nível Geográfico: selecione "Unidade da Federação" e marque a opção "Rio Grande do Sul"</t>
  </si>
  <si>
    <t>4. Nível Setorial: selecione "Classe de atividade econômica segundo a classificação CNAE – versão 2.0 (669 categorias)" e marque a opção "38114 – Coleta de Resíduos Não-Perigosos"</t>
  </si>
  <si>
    <t>5. Clique em Gerar Relatório</t>
  </si>
  <si>
    <t>Para preencher esta planilha siga os passos 1 a 5:</t>
  </si>
  <si>
    <t>Idade do veículo (ano)</t>
  </si>
  <si>
    <t>Idade do veículo</t>
  </si>
  <si>
    <t>Idade do compactador</t>
  </si>
  <si>
    <t>Valor do veículo proposto (V0)</t>
  </si>
  <si>
    <t>Valor do compactador proposto (V0)</t>
  </si>
  <si>
    <t>Taxa de juros anual nominal</t>
  </si>
  <si>
    <t>Piso da categoria</t>
  </si>
  <si>
    <t>Base de cálculo da Insalubridade</t>
  </si>
  <si>
    <t>Horas Extras Noturnas (50%)</t>
  </si>
  <si>
    <t>Descanso Semanal Remunerado (DSR) - hora extra</t>
  </si>
  <si>
    <t>C2</t>
  </si>
  <si>
    <t>B3</t>
  </si>
  <si>
    <t xml:space="preserve">Quantidade média de resíduos coletados por mês: 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</si>
  <si>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</si>
  <si>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</si>
  <si>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</si>
  <si>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</si>
  <si>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</si>
  <si>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</si>
  <si>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</si>
  <si>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</si>
  <si>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</si>
  <si>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</si>
  <si>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</si>
  <si>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</si>
  <si>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</si>
  <si>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</si>
  <si>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</si>
  <si>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</si>
  <si>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</si>
  <si>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</si>
  <si>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</si>
  <si>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CUSTO MENSAL COM BDI (R$/mês)</t>
  </si>
  <si>
    <t>CÁLCULO DAS VERBAS INDENIZATÓRIAS DOS EMPREGADOS NO SETOR DE COLETA DE RSU</t>
  </si>
  <si>
    <t>6. Preencha as células em amarelo</t>
  </si>
  <si>
    <t>1/3 de férias (dias)</t>
  </si>
  <si>
    <t>Férias (dias)</t>
  </si>
  <si>
    <t>13º Salário (dias)</t>
  </si>
  <si>
    <t>Referência estudo TCE</t>
  </si>
  <si>
    <t>1. Preencha previamente os dados de entrada na planilha 3.CAGED</t>
  </si>
  <si>
    <t>Rotatividade temporal (meses)</t>
  </si>
  <si>
    <t>Fórmula de cálculo da remuneração de capital:</t>
  </si>
  <si>
    <t>Total por Motorista</t>
  </si>
  <si>
    <t>2. Na Especificação da Consulta, selecione "Demonstrativo por período" e informe as competências relativas ao período Inicial e Final (últimos 12 meses)</t>
  </si>
  <si>
    <t>Durabilidade (meses)</t>
  </si>
  <si>
    <t>Custo com consumos/km rodado</t>
  </si>
  <si>
    <t>Consumo</t>
  </si>
  <si>
    <t>Total por veículo</t>
  </si>
  <si>
    <t>Total da frota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</si>
  <si>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</si>
  <si>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</si>
  <si>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</si>
  <si>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</si>
  <si>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</si>
  <si>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</si>
  <si>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</si>
  <si>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</si>
  <si>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</si>
  <si>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</si>
  <si>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</si>
  <si>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</si>
  <si>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</si>
  <si>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</si>
  <si>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</si>
  <si>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</si>
  <si>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</si>
  <si>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</si>
  <si>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</si>
  <si>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</si>
  <si>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</si>
  <si>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</si>
  <si>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</si>
  <si>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i</t>
  </si>
  <si>
    <t>3. Preencher somente células em amarelo</t>
  </si>
  <si>
    <t>Depreciação Média</t>
  </si>
  <si>
    <t>2. Dimensionar separadamente setores atendidos por veículos de capacidade de carga diferentes.</t>
  </si>
  <si>
    <t xml:space="preserve">1. Esta planilha é somente um modelo-base, devendo ser adaptada para cada caso concreto. </t>
  </si>
  <si>
    <t>Qualquer custo previsto no edital e não contemplado nesta planilha deverá ser devidamente incluído.</t>
  </si>
  <si>
    <t>4. As células azuis deverão ter seus valores preenchidos em outra planilha do arquivo.</t>
  </si>
  <si>
    <t>2. Antes de preenchê-la, leia a Orientação Técnica - Serviço de coleta de resíduos sólidos domiciliares</t>
  </si>
  <si>
    <t>Reincidência de FGTS sobre aviso prévio indenizado</t>
  </si>
  <si>
    <t>O orçamento deve ser realizado por responsável técnico habilitado e é de responsabilidade do seu autor.</t>
  </si>
  <si>
    <t>Piso da categoria (2)</t>
  </si>
  <si>
    <t>Salário mínimo nacional (1)</t>
  </si>
  <si>
    <t>O TCE/RS não se responsabiliza pelo uso incorreto desta planilha.</t>
  </si>
  <si>
    <t>% Demitidos s/ Justa Causa em relação ao Estoque Médio</t>
  </si>
  <si>
    <t>Taxa de Rotatividade</t>
  </si>
  <si>
    <t>Acordo</t>
  </si>
  <si>
    <t>Estoque recuperado início do Período 01-03-2018</t>
  </si>
  <si>
    <t>Estoque recuperado final do Período 28-02-2019</t>
  </si>
  <si>
    <t>Variação Emprego Absoluta de 01-03-2018 a 28-02-2019</t>
  </si>
  <si>
    <t>1.3. Operador de máquina</t>
  </si>
  <si>
    <t xml:space="preserve">3.1. Veículo caregador </t>
  </si>
  <si>
    <t>HORAS MÊS</t>
  </si>
  <si>
    <t>8 hrs por dia * 26 dias mês</t>
  </si>
  <si>
    <t>R$/hora trabalhada</t>
  </si>
  <si>
    <t>Custo de manutenção</t>
  </si>
  <si>
    <t>L / h</t>
  </si>
  <si>
    <t>h</t>
  </si>
  <si>
    <t>L / 1.000 h</t>
  </si>
  <si>
    <t>kg / 1.000 h</t>
  </si>
  <si>
    <t>Custo de óleo diesel / hora trabalhad</t>
  </si>
  <si>
    <t>Custo jogo pneus dianteiros</t>
  </si>
  <si>
    <t>Custo jogo pneus traseiros</t>
  </si>
  <si>
    <t>Custo pneus dianteiros/ hora trabalhada</t>
  </si>
  <si>
    <t>h / jogo</t>
  </si>
  <si>
    <t>Custo pneus traseiros/ hora trabalhada</t>
  </si>
  <si>
    <t>1. OPERAÇÃO TRANSBORDO E ECOPONTO</t>
  </si>
  <si>
    <t>Total por Operador</t>
  </si>
  <si>
    <t xml:space="preserve"> 1.1.VARREDOR,GARI,LIMPEZA URBANA</t>
  </si>
  <si>
    <t xml:space="preserve"> 1.1-VARREDOR,GARI,LIMPEZA URBANA</t>
  </si>
  <si>
    <t>VARREDOR</t>
  </si>
  <si>
    <t>OPERADOR</t>
  </si>
  <si>
    <t>7. Aluguel do prédio</t>
  </si>
  <si>
    <t>1.7. Balança (pesagem)</t>
  </si>
  <si>
    <t>Custo Mensal</t>
  </si>
  <si>
    <t>Custo de Balança pesagem 40 Toneladas</t>
  </si>
  <si>
    <t>PREÇO TOTAL MENSAL COM ARMAZENAMENTO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</si>
</sst>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&quot;R$ &quot;#,##0.00_);\(&quot;R$ &quot;#,##0.00\)"/>
    <numFmt numFmtId="165" formatCode="_(* #,##0.00_);_(* \(#,##0.00\);_(* &quot;-&quot;??_);_(@_)"/>
    <numFmt numFmtId="166" formatCode="_(* #,##0_);_(* \(#,##0\);_(* &quot;-&quot;??_);_(@_)"/>
    <numFmt numFmtId="167" formatCode="_(* #,##0.000_);_(* \(#,##0.000\);_(* &quot;-&quot;??_);_(@_)"/>
    <numFmt numFmtId="168" formatCode="&quot;R$ &quot;#,##0.00"/>
    <numFmt numFmtId="169" formatCode="0.0000"/>
    <numFmt numFmtId="170" formatCode="_-* #,##0.000_-;\-* #,##0.000_-;_-* &quot;-&quot;??_-;_-@_-"/>
    <numFmt numFmtId="171" formatCode="_-* #,##0.00_-;\-* #,##0.00_-;_-* &quot;-&quot;?_-;_-@_-"/>
    <numFmt numFmtId="172" formatCode="_-* #,##0_-;\-* #,##0_-;_-* &quot;-&quot;?_-;_-@_-"/>
    <numFmt numFmtId="173" formatCode="&quot;R$&quot;\ #,##0.00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61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5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5" fontId="6" fillId="0" borderId="2" xfId="3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5" fontId="6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3" applyFont="1" applyAlignment="1">
      <alignment horizontal="center" vertical="center"/>
    </xf>
    <xf numFmtId="165" fontId="3" fillId="2" borderId="3" xfId="3" applyFont="1" applyFill="1" applyBorder="1" applyAlignment="1">
      <alignment horizontal="center" vertical="center"/>
    </xf>
    <xf numFmtId="165" fontId="3" fillId="2" borderId="3" xfId="3" applyFont="1" applyFill="1" applyBorder="1" applyAlignment="1">
      <alignment vertical="center"/>
    </xf>
    <xf numFmtId="165" fontId="3" fillId="0" borderId="0" xfId="3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3" fillId="0" borderId="5" xfId="3" applyFont="1" applyBorder="1" applyAlignment="1">
      <alignment vertical="center"/>
    </xf>
    <xf numFmtId="165" fontId="3" fillId="0" borderId="6" xfId="3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65" fontId="6" fillId="0" borderId="5" xfId="3" applyFont="1" applyBorder="1" applyAlignment="1">
      <alignment vertical="center"/>
    </xf>
    <xf numFmtId="165" fontId="6" fillId="0" borderId="6" xfId="3" applyFont="1" applyBorder="1" applyAlignment="1">
      <alignment vertical="center"/>
    </xf>
    <xf numFmtId="165" fontId="3" fillId="0" borderId="0" xfId="3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5" fontId="3" fillId="0" borderId="0" xfId="3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3" fillId="0" borderId="0" xfId="3" applyFont="1" applyBorder="1" applyAlignment="1">
      <alignment vertical="center"/>
    </xf>
    <xf numFmtId="165" fontId="5" fillId="0" borderId="0" xfId="3" applyFont="1" applyAlignment="1">
      <alignment vertical="center"/>
    </xf>
    <xf numFmtId="166" fontId="6" fillId="0" borderId="1" xfId="3" applyNumberFormat="1" applyFont="1" applyBorder="1" applyAlignment="1">
      <alignment vertical="center"/>
    </xf>
    <xf numFmtId="165" fontId="6" fillId="0" borderId="0" xfId="3" applyFont="1"/>
    <xf numFmtId="165" fontId="4" fillId="0" borderId="0" xfId="3" applyFont="1" applyAlignment="1">
      <alignment vertical="center"/>
    </xf>
    <xf numFmtId="165" fontId="0" fillId="0" borderId="7" xfId="3" applyFont="1" applyBorder="1" applyAlignment="1">
      <alignment vertical="center"/>
    </xf>
    <xf numFmtId="165" fontId="3" fillId="0" borderId="8" xfId="3" applyFont="1" applyBorder="1" applyAlignment="1">
      <alignment horizontal="center" vertical="center"/>
    </xf>
    <xf numFmtId="165" fontId="3" fillId="0" borderId="4" xfId="3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Continuous" vertical="center"/>
    </xf>
    <xf numFmtId="165" fontId="3" fillId="0" borderId="0" xfId="3" applyFont="1" applyAlignment="1">
      <alignment vertical="center"/>
    </xf>
    <xf numFmtId="165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Continuous" vertical="center"/>
    </xf>
    <xf numFmtId="165" fontId="0" fillId="0" borderId="9" xfId="3" applyFont="1" applyBorder="1" applyAlignment="1">
      <alignment vertical="center"/>
    </xf>
    <xf numFmtId="165" fontId="3" fillId="0" borderId="10" xfId="3" applyFont="1" applyBorder="1" applyAlignment="1">
      <alignment horizontal="right" vertical="center"/>
    </xf>
    <xf numFmtId="165" fontId="0" fillId="0" borderId="11" xfId="3" applyFont="1" applyBorder="1" applyAlignment="1">
      <alignment vertical="center"/>
    </xf>
    <xf numFmtId="165" fontId="6" fillId="0" borderId="1" xfId="3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5" fontId="6" fillId="0" borderId="0" xfId="3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5" fontId="4" fillId="0" borderId="0" xfId="3" applyFont="1" applyBorder="1" applyAlignment="1">
      <alignment vertical="center"/>
    </xf>
    <xf numFmtId="10" fontId="0" fillId="0" borderId="12" xfId="2" applyNumberFormat="1" applyFont="1" applyBorder="1" applyAlignment="1">
      <alignment vertical="center"/>
    </xf>
    <xf numFmtId="165" fontId="6" fillId="0" borderId="0" xfId="3" applyFont="1" applyBorder="1" applyAlignment="1">
      <alignment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165" fontId="13" fillId="2" borderId="14" xfId="3" applyFont="1" applyFill="1" applyBorder="1" applyAlignment="1">
      <alignment horizontal="center" vertical="center"/>
    </xf>
    <xf numFmtId="165" fontId="13" fillId="2" borderId="15" xfId="3" applyFont="1" applyFill="1" applyBorder="1" applyAlignment="1">
      <alignment horizontal="center" vertical="center"/>
    </xf>
    <xf numFmtId="165" fontId="3" fillId="0" borderId="16" xfId="3" applyFont="1" applyBorder="1" applyAlignment="1">
      <alignment horizontal="center" vertical="center"/>
    </xf>
    <xf numFmtId="165" fontId="1" fillId="0" borderId="11" xfId="3" applyFont="1" applyBorder="1" applyAlignment="1">
      <alignment horizontal="left" vertical="center"/>
    </xf>
    <xf numFmtId="165" fontId="6" fillId="0" borderId="9" xfId="3" applyFont="1" applyBorder="1" applyAlignment="1">
      <alignment vertical="center"/>
    </xf>
    <xf numFmtId="165" fontId="6" fillId="0" borderId="11" xfId="3" applyFont="1" applyBorder="1" applyAlignment="1">
      <alignment vertical="center"/>
    </xf>
    <xf numFmtId="166" fontId="6" fillId="0" borderId="0" xfId="3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7" xfId="3" applyNumberFormat="1" applyFont="1" applyBorder="1" applyAlignment="1">
      <alignment horizontal="center" vertical="center"/>
    </xf>
    <xf numFmtId="165" fontId="3" fillId="0" borderId="18" xfId="3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165" fontId="6" fillId="0" borderId="16" xfId="3" applyFont="1" applyBorder="1" applyAlignment="1">
      <alignment vertical="center"/>
    </xf>
    <xf numFmtId="165" fontId="6" fillId="0" borderId="7" xfId="3" applyFont="1" applyBorder="1" applyAlignment="1">
      <alignment vertical="center"/>
    </xf>
    <xf numFmtId="0" fontId="0" fillId="0" borderId="7" xfId="0" applyBorder="1" applyAlignment="1">
      <alignment vertical="center"/>
    </xf>
    <xf numFmtId="1" fontId="6" fillId="0" borderId="8" xfId="3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9" xfId="0" applyBorder="1" applyAlignment="1">
      <alignment vertical="center"/>
    </xf>
    <xf numFmtId="1" fontId="3" fillId="0" borderId="20" xfId="3" applyNumberFormat="1" applyFont="1" applyBorder="1" applyAlignment="1">
      <alignment horizontal="center" vertical="center"/>
    </xf>
    <xf numFmtId="165" fontId="12" fillId="0" borderId="1" xfId="3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5" fontId="3" fillId="2" borderId="3" xfId="3" applyNumberFormat="1" applyFont="1" applyFill="1" applyBorder="1" applyAlignment="1">
      <alignment horizontal="center" vertical="center"/>
    </xf>
    <xf numFmtId="165" fontId="6" fillId="0" borderId="1" xfId="3" applyFont="1" applyFill="1" applyBorder="1" applyAlignment="1">
      <alignment horizontal="center" vertical="center"/>
    </xf>
    <xf numFmtId="165" fontId="11" fillId="0" borderId="0" xfId="3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2" xfId="3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5" fontId="6" fillId="3" borderId="1" xfId="3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65" fontId="6" fillId="3" borderId="0" xfId="3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166" fontId="6" fillId="0" borderId="1" xfId="3" applyNumberFormat="1" applyFont="1" applyBorder="1" applyAlignment="1">
      <alignment horizontal="center" vertical="center"/>
    </xf>
    <xf numFmtId="165" fontId="6" fillId="3" borderId="1" xfId="3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167" fontId="6" fillId="3" borderId="2" xfId="3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3" fontId="6" fillId="3" borderId="1" xfId="0" applyNumberFormat="1" applyFont="1" applyFill="1" applyBorder="1" applyAlignment="1">
      <alignment horizontal="center" vertical="center"/>
    </xf>
    <xf numFmtId="166" fontId="6" fillId="0" borderId="1" xfId="3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3" applyFont="1" applyBorder="1" applyAlignment="1">
      <alignment horizontal="center"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165" fontId="13" fillId="2" borderId="22" xfId="3" applyFont="1" applyFill="1" applyBorder="1" applyAlignment="1">
      <alignment horizontal="center" vertical="center"/>
    </xf>
    <xf numFmtId="165" fontId="6" fillId="0" borderId="0" xfId="3" applyFont="1" applyFill="1" applyAlignment="1">
      <alignment vertical="center"/>
    </xf>
    <xf numFmtId="165" fontId="3" fillId="0" borderId="1" xfId="3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vertical="center"/>
    </xf>
    <xf numFmtId="165" fontId="3" fillId="0" borderId="23" xfId="3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5" fontId="3" fillId="0" borderId="0" xfId="3" applyFont="1" applyAlignment="1">
      <alignment horizontal="center" vertical="center"/>
    </xf>
    <xf numFmtId="165" fontId="3" fillId="0" borderId="24" xfId="3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6" fillId="0" borderId="0" xfId="3" applyFont="1" applyAlignment="1">
      <alignment horizontal="right" vertical="center"/>
    </xf>
    <xf numFmtId="165" fontId="3" fillId="2" borderId="6" xfId="3" applyFont="1" applyFill="1" applyBorder="1" applyAlignment="1">
      <alignment horizontal="center" vertical="center"/>
    </xf>
    <xf numFmtId="165" fontId="3" fillId="0" borderId="11" xfId="3" applyFont="1" applyBorder="1" applyAlignment="1">
      <alignment vertical="center"/>
    </xf>
    <xf numFmtId="165" fontId="3" fillId="0" borderId="9" xfId="0" applyNumberFormat="1" applyFont="1" applyBorder="1" applyAlignment="1">
      <alignment vertical="center"/>
    </xf>
    <xf numFmtId="165" fontId="3" fillId="0" borderId="9" xfId="3" applyFont="1" applyBorder="1" applyAlignment="1">
      <alignment vertical="center"/>
    </xf>
    <xf numFmtId="10" fontId="3" fillId="0" borderId="12" xfId="2" applyNumberFormat="1" applyFont="1" applyBorder="1" applyAlignment="1">
      <alignment vertical="center"/>
    </xf>
    <xf numFmtId="165" fontId="3" fillId="0" borderId="25" xfId="3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65" fontId="6" fillId="0" borderId="26" xfId="3" applyFont="1" applyBorder="1" applyAlignment="1">
      <alignment vertical="center"/>
    </xf>
    <xf numFmtId="165" fontId="6" fillId="0" borderId="27" xfId="3" applyFont="1" applyBorder="1" applyAlignment="1">
      <alignment vertical="center"/>
    </xf>
    <xf numFmtId="165" fontId="6" fillId="0" borderId="28" xfId="3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1" fontId="6" fillId="0" borderId="29" xfId="3" applyNumberFormat="1" applyFont="1" applyBorder="1" applyAlignment="1">
      <alignment horizontal="center" vertical="center"/>
    </xf>
    <xf numFmtId="165" fontId="3" fillId="0" borderId="11" xfId="3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Continuous" vertical="center"/>
    </xf>
    <xf numFmtId="0" fontId="1" fillId="0" borderId="0" xfId="0" applyFon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65" fontId="6" fillId="4" borderId="1" xfId="3" applyFont="1" applyFill="1" applyBorder="1" applyAlignment="1">
      <alignment horizontal="center" vertical="center"/>
    </xf>
    <xf numFmtId="165" fontId="6" fillId="4" borderId="1" xfId="3" applyFont="1" applyFill="1" applyBorder="1" applyAlignment="1">
      <alignment vertical="center"/>
    </xf>
    <xf numFmtId="10" fontId="6" fillId="0" borderId="12" xfId="2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0" fillId="0" borderId="25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65" fontId="0" fillId="0" borderId="0" xfId="3" applyFont="1" applyFill="1" applyBorder="1" applyAlignment="1">
      <alignment vertical="center"/>
    </xf>
    <xf numFmtId="165" fontId="0" fillId="0" borderId="26" xfId="3" applyFont="1" applyFill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166" fontId="3" fillId="0" borderId="0" xfId="3" applyNumberFormat="1" applyFont="1" applyBorder="1" applyAlignment="1">
      <alignment horizontal="center" vertical="center"/>
    </xf>
    <xf numFmtId="0" fontId="23" fillId="0" borderId="11" xfId="0" applyFont="1" applyBorder="1"/>
    <xf numFmtId="0" fontId="6" fillId="0" borderId="0" xfId="0" applyFont="1" applyBorder="1"/>
    <xf numFmtId="0" fontId="23" fillId="0" borderId="30" xfId="0" applyFont="1" applyBorder="1"/>
    <xf numFmtId="0" fontId="23" fillId="3" borderId="17" xfId="0" applyFont="1" applyFill="1" applyBorder="1"/>
    <xf numFmtId="0" fontId="23" fillId="0" borderId="31" xfId="0" applyFont="1" applyBorder="1"/>
    <xf numFmtId="0" fontId="23" fillId="0" borderId="32" xfId="0" applyFont="1" applyBorder="1"/>
    <xf numFmtId="0" fontId="23" fillId="0" borderId="17" xfId="0" applyFont="1" applyBorder="1"/>
    <xf numFmtId="0" fontId="23" fillId="0" borderId="18" xfId="0" applyFont="1" applyBorder="1"/>
    <xf numFmtId="2" fontId="24" fillId="5" borderId="1" xfId="0" applyNumberFormat="1" applyFont="1" applyFill="1" applyBorder="1" applyAlignment="1">
      <alignment horizontal="right" vertical="center"/>
    </xf>
    <xf numFmtId="0" fontId="24" fillId="0" borderId="31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2" fontId="24" fillId="5" borderId="34" xfId="0" applyNumberFormat="1" applyFont="1" applyFill="1" applyBorder="1" applyAlignment="1">
      <alignment horizontal="right" vertical="center"/>
    </xf>
    <xf numFmtId="0" fontId="24" fillId="0" borderId="3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10" fontId="24" fillId="0" borderId="17" xfId="0" applyNumberFormat="1" applyFont="1" applyBorder="1" applyAlignment="1">
      <alignment horizontal="right" vertical="center"/>
    </xf>
    <xf numFmtId="0" fontId="24" fillId="0" borderId="0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10" fontId="25" fillId="0" borderId="17" xfId="0" applyNumberFormat="1" applyFont="1" applyBorder="1" applyAlignment="1">
      <alignment horizontal="right" vertical="center"/>
    </xf>
    <xf numFmtId="0" fontId="24" fillId="6" borderId="31" xfId="0" applyFont="1" applyFill="1" applyBorder="1" applyAlignment="1">
      <alignment horizontal="left" vertical="center"/>
    </xf>
    <xf numFmtId="0" fontId="25" fillId="6" borderId="1" xfId="0" applyFont="1" applyFill="1" applyBorder="1" applyAlignment="1">
      <alignment horizontal="left" vertical="center"/>
    </xf>
    <xf numFmtId="10" fontId="25" fillId="6" borderId="17" xfId="0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10" fontId="6" fillId="0" borderId="0" xfId="0" applyNumberFormat="1" applyFont="1"/>
    <xf numFmtId="9" fontId="24" fillId="0" borderId="0" xfId="2" applyFont="1" applyBorder="1" applyAlignment="1">
      <alignment horizontal="right" vertical="center"/>
    </xf>
    <xf numFmtId="10" fontId="6" fillId="0" borderId="0" xfId="0" applyNumberFormat="1" applyFont="1" applyBorder="1"/>
    <xf numFmtId="0" fontId="24" fillId="0" borderId="1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/>
    </xf>
    <xf numFmtId="0" fontId="24" fillId="7" borderId="33" xfId="0" applyFont="1" applyFill="1" applyBorder="1" applyAlignment="1">
      <alignment horizontal="left" vertical="center"/>
    </xf>
    <xf numFmtId="0" fontId="25" fillId="7" borderId="34" xfId="0" applyFont="1" applyFill="1" applyBorder="1" applyAlignment="1">
      <alignment horizontal="left" vertical="center"/>
    </xf>
    <xf numFmtId="10" fontId="25" fillId="7" borderId="29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left" vertical="center"/>
    </xf>
    <xf numFmtId="10" fontId="25" fillId="0" borderId="0" xfId="0" applyNumberFormat="1" applyFont="1" applyFill="1" applyBorder="1" applyAlignment="1">
      <alignment horizontal="right" vertical="center"/>
    </xf>
    <xf numFmtId="0" fontId="27" fillId="8" borderId="0" xfId="0" applyFont="1" applyFill="1" applyBorder="1" applyAlignment="1">
      <alignment horizontal="left" vertical="center"/>
    </xf>
    <xf numFmtId="10" fontId="24" fillId="0" borderId="0" xfId="0" applyNumberFormat="1" applyFont="1" applyFill="1" applyBorder="1" applyAlignment="1">
      <alignment horizontal="right" vertical="center"/>
    </xf>
    <xf numFmtId="0" fontId="24" fillId="8" borderId="0" xfId="0" applyFont="1" applyFill="1" applyBorder="1" applyAlignment="1">
      <alignment horizontal="left" vertical="center"/>
    </xf>
    <xf numFmtId="10" fontId="24" fillId="0" borderId="0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left" vertical="center"/>
    </xf>
    <xf numFmtId="10" fontId="25" fillId="0" borderId="0" xfId="0" applyNumberFormat="1" applyFont="1" applyBorder="1" applyAlignment="1">
      <alignment horizontal="right" vertical="center"/>
    </xf>
    <xf numFmtId="0" fontId="28" fillId="0" borderId="0" xfId="0" applyFont="1" applyBorder="1" applyAlignment="1">
      <alignment horizontal="justify" vertical="center"/>
    </xf>
    <xf numFmtId="0" fontId="8" fillId="0" borderId="0" xfId="1" applyFont="1" applyBorder="1" applyAlignment="1" applyProtection="1">
      <alignment horizontal="left" vertical="center"/>
    </xf>
    <xf numFmtId="0" fontId="29" fillId="0" borderId="0" xfId="0" applyFont="1" applyBorder="1"/>
    <xf numFmtId="0" fontId="24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vertical="center"/>
    </xf>
    <xf numFmtId="0" fontId="5" fillId="0" borderId="12" xfId="0" applyFont="1" applyBorder="1"/>
    <xf numFmtId="0" fontId="5" fillId="0" borderId="31" xfId="0" applyFont="1" applyBorder="1"/>
    <xf numFmtId="0" fontId="5" fillId="3" borderId="17" xfId="0" applyFont="1" applyFill="1" applyBorder="1"/>
    <xf numFmtId="0" fontId="5" fillId="0" borderId="30" xfId="0" applyFont="1" applyBorder="1"/>
    <xf numFmtId="0" fontId="5" fillId="3" borderId="32" xfId="0" applyFont="1" applyFill="1" applyBorder="1"/>
    <xf numFmtId="0" fontId="5" fillId="0" borderId="35" xfId="0" applyFont="1" applyBorder="1"/>
    <xf numFmtId="0" fontId="5" fillId="3" borderId="36" xfId="0" applyFont="1" applyFill="1" applyBorder="1"/>
    <xf numFmtId="0" fontId="5" fillId="0" borderId="25" xfId="0" applyFont="1" applyBorder="1"/>
    <xf numFmtId="0" fontId="5" fillId="0" borderId="26" xfId="0" applyFont="1" applyBorder="1"/>
    <xf numFmtId="0" fontId="7" fillId="0" borderId="32" xfId="0" applyFont="1" applyBorder="1"/>
    <xf numFmtId="0" fontId="7" fillId="0" borderId="25" xfId="0" applyFont="1" applyFill="1" applyBorder="1" applyAlignment="1">
      <alignment horizontal="left" vertical="center"/>
    </xf>
    <xf numFmtId="0" fontId="5" fillId="0" borderId="0" xfId="0" applyFont="1" applyBorder="1"/>
    <xf numFmtId="9" fontId="5" fillId="0" borderId="31" xfId="2" applyFont="1" applyBorder="1"/>
    <xf numFmtId="9" fontId="5" fillId="0" borderId="1" xfId="2" applyFont="1" applyBorder="1" applyAlignment="1">
      <alignment horizontal="center"/>
    </xf>
    <xf numFmtId="9" fontId="5" fillId="0" borderId="17" xfId="2" applyFont="1" applyBorder="1"/>
    <xf numFmtId="0" fontId="5" fillId="0" borderId="37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center" vertical="center"/>
    </xf>
    <xf numFmtId="10" fontId="5" fillId="3" borderId="8" xfId="0" applyNumberFormat="1" applyFont="1" applyFill="1" applyBorder="1" applyAlignment="1">
      <alignment horizontal="center" vertical="center"/>
    </xf>
    <xf numFmtId="10" fontId="5" fillId="0" borderId="17" xfId="2" applyNumberFormat="1" applyFont="1" applyBorder="1"/>
    <xf numFmtId="0" fontId="5" fillId="0" borderId="3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0" fontId="5" fillId="3" borderId="17" xfId="0" applyNumberFormat="1" applyFont="1" applyFill="1" applyBorder="1" applyAlignment="1">
      <alignment horizontal="center" vertical="center"/>
    </xf>
    <xf numFmtId="10" fontId="5" fillId="0" borderId="17" xfId="0" applyNumberFormat="1" applyFont="1" applyFill="1" applyBorder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7" xfId="0" applyFont="1" applyBorder="1"/>
    <xf numFmtId="0" fontId="5" fillId="0" borderId="33" xfId="0" applyFont="1" applyFill="1" applyBorder="1" applyAlignment="1">
      <alignment horizontal="left" vertical="center"/>
    </xf>
    <xf numFmtId="10" fontId="5" fillId="3" borderId="29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9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10" fontId="5" fillId="0" borderId="41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vertical="center"/>
    </xf>
    <xf numFmtId="0" fontId="7" fillId="6" borderId="4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/>
    </xf>
    <xf numFmtId="10" fontId="7" fillId="6" borderId="6" xfId="0" applyNumberFormat="1" applyFont="1" applyFill="1" applyBorder="1" applyAlignment="1">
      <alignment horizontal="center" vertical="center" wrapText="1"/>
    </xf>
    <xf numFmtId="10" fontId="5" fillId="0" borderId="31" xfId="2" applyNumberFormat="1" applyFont="1" applyBorder="1" applyAlignment="1">
      <alignment horizontal="right"/>
    </xf>
    <xf numFmtId="10" fontId="5" fillId="0" borderId="1" xfId="2" applyNumberFormat="1" applyFont="1" applyBorder="1" applyAlignment="1">
      <alignment horizontal="right"/>
    </xf>
    <xf numFmtId="10" fontId="5" fillId="0" borderId="17" xfId="2" applyNumberFormat="1" applyFont="1" applyBorder="1" applyAlignment="1">
      <alignment horizontal="right"/>
    </xf>
    <xf numFmtId="10" fontId="5" fillId="0" borderId="33" xfId="2" applyNumberFormat="1" applyFont="1" applyBorder="1" applyAlignment="1">
      <alignment horizontal="right"/>
    </xf>
    <xf numFmtId="10" fontId="5" fillId="0" borderId="34" xfId="2" applyNumberFormat="1" applyFont="1" applyBorder="1" applyAlignment="1">
      <alignment horizontal="right"/>
    </xf>
    <xf numFmtId="10" fontId="5" fillId="0" borderId="29" xfId="2" applyNumberFormat="1" applyFont="1" applyBorder="1" applyAlignment="1">
      <alignment horizontal="right"/>
    </xf>
    <xf numFmtId="0" fontId="6" fillId="0" borderId="43" xfId="0" applyFont="1" applyBorder="1"/>
    <xf numFmtId="0" fontId="30" fillId="0" borderId="43" xfId="0" applyFont="1" applyBorder="1" applyAlignment="1">
      <alignment horizontal="justify"/>
    </xf>
    <xf numFmtId="0" fontId="30" fillId="0" borderId="44" xfId="0" applyFont="1" applyBorder="1" applyAlignment="1">
      <alignment horizontal="justify"/>
    </xf>
    <xf numFmtId="0" fontId="17" fillId="9" borderId="45" xfId="0" applyFont="1" applyFill="1" applyBorder="1" applyAlignment="1">
      <alignment horizontal="center"/>
    </xf>
    <xf numFmtId="1" fontId="6" fillId="0" borderId="0" xfId="3" applyNumberFormat="1" applyFont="1" applyBorder="1" applyAlignment="1">
      <alignment horizontal="center" vertical="center"/>
    </xf>
    <xf numFmtId="0" fontId="6" fillId="0" borderId="4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65" fontId="6" fillId="3" borderId="9" xfId="3" applyNumberFormat="1" applyFont="1" applyFill="1" applyBorder="1" applyAlignment="1">
      <alignment vertical="center"/>
    </xf>
    <xf numFmtId="165" fontId="6" fillId="0" borderId="47" xfId="3" applyFont="1" applyBorder="1" applyAlignment="1">
      <alignment vertical="center"/>
    </xf>
    <xf numFmtId="165" fontId="3" fillId="0" borderId="6" xfId="3" applyFont="1" applyBorder="1" applyAlignment="1">
      <alignment horizontal="right" vertical="center"/>
    </xf>
    <xf numFmtId="165" fontId="3" fillId="2" borderId="3" xfId="3" applyFont="1" applyFill="1" applyBorder="1" applyAlignment="1">
      <alignment horizontal="right" vertical="center"/>
    </xf>
    <xf numFmtId="168" fontId="3" fillId="0" borderId="1" xfId="0" applyNumberFormat="1" applyFont="1" applyBorder="1" applyAlignment="1">
      <alignment vertical="center"/>
    </xf>
    <xf numFmtId="168" fontId="0" fillId="0" borderId="1" xfId="0" applyNumberFormat="1" applyBorder="1" applyAlignment="1">
      <alignment vertical="center"/>
    </xf>
    <xf numFmtId="165" fontId="3" fillId="0" borderId="7" xfId="3" applyFont="1" applyBorder="1" applyAlignment="1">
      <alignment vertical="center"/>
    </xf>
    <xf numFmtId="165" fontId="3" fillId="0" borderId="4" xfId="3" applyFont="1" applyBorder="1" applyAlignment="1">
      <alignment vertical="center"/>
    </xf>
    <xf numFmtId="9" fontId="3" fillId="3" borderId="6" xfId="2" applyFont="1" applyFill="1" applyBorder="1" applyAlignment="1">
      <alignment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5" fontId="3" fillId="0" borderId="9" xfId="3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167" fontId="6" fillId="0" borderId="1" xfId="3" applyNumberFormat="1" applyFont="1" applyBorder="1" applyAlignment="1">
      <alignment horizontal="center" vertical="center"/>
    </xf>
    <xf numFmtId="166" fontId="3" fillId="0" borderId="1" xfId="3" applyNumberFormat="1" applyFont="1" applyBorder="1" applyAlignment="1">
      <alignment horizontal="center" vertical="center"/>
    </xf>
    <xf numFmtId="167" fontId="3" fillId="0" borderId="1" xfId="3" applyNumberFormat="1" applyFont="1" applyBorder="1" applyAlignment="1">
      <alignment horizontal="center" vertical="center"/>
    </xf>
    <xf numFmtId="167" fontId="6" fillId="0" borderId="2" xfId="3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48" xfId="0" applyFont="1" applyBorder="1" applyAlignment="1">
      <alignment vertical="center"/>
    </xf>
    <xf numFmtId="0" fontId="3" fillId="0" borderId="48" xfId="0" applyFont="1" applyBorder="1" applyAlignment="1">
      <alignment horizontal="center" vertical="center"/>
    </xf>
    <xf numFmtId="165" fontId="3" fillId="0" borderId="48" xfId="3" applyFont="1" applyBorder="1" applyAlignment="1">
      <alignment horizontal="center" vertical="center"/>
    </xf>
    <xf numFmtId="165" fontId="3" fillId="0" borderId="48" xfId="3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Fill="1"/>
    <xf numFmtId="0" fontId="7" fillId="0" borderId="31" xfId="0" applyFont="1" applyBorder="1"/>
    <xf numFmtId="0" fontId="7" fillId="0" borderId="1" xfId="0" applyFont="1" applyBorder="1"/>
    <xf numFmtId="0" fontId="7" fillId="0" borderId="17" xfId="0" applyFont="1" applyBorder="1"/>
    <xf numFmtId="0" fontId="5" fillId="0" borderId="31" xfId="0" applyFont="1" applyFill="1" applyBorder="1"/>
    <xf numFmtId="0" fontId="5" fillId="0" borderId="1" xfId="0" applyFont="1" applyFill="1" applyBorder="1"/>
    <xf numFmtId="0" fontId="5" fillId="0" borderId="1" xfId="0" applyFont="1" applyBorder="1"/>
    <xf numFmtId="170" fontId="26" fillId="0" borderId="17" xfId="3" applyNumberFormat="1" applyFont="1" applyBorder="1" applyAlignment="1">
      <alignment horizontal="center" vertical="center" wrapText="1"/>
    </xf>
    <xf numFmtId="171" fontId="5" fillId="0" borderId="17" xfId="0" applyNumberFormat="1" applyFont="1" applyBorder="1"/>
    <xf numFmtId="2" fontId="5" fillId="0" borderId="17" xfId="0" applyNumberFormat="1" applyFont="1" applyBorder="1"/>
    <xf numFmtId="0" fontId="5" fillId="0" borderId="33" xfId="0" applyFont="1" applyFill="1" applyBorder="1"/>
    <xf numFmtId="0" fontId="5" fillId="0" borderId="34" xfId="0" applyFont="1" applyBorder="1"/>
    <xf numFmtId="171" fontId="5" fillId="3" borderId="17" xfId="0" applyNumberFormat="1" applyFont="1" applyFill="1" applyBorder="1"/>
    <xf numFmtId="171" fontId="5" fillId="0" borderId="29" xfId="0" applyNumberFormat="1" applyFont="1" applyBorder="1"/>
    <xf numFmtId="0" fontId="17" fillId="0" borderId="1" xfId="0" applyFont="1" applyFill="1" applyBorder="1" applyAlignment="1">
      <alignment horizontal="center"/>
    </xf>
    <xf numFmtId="0" fontId="17" fillId="0" borderId="31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172" fontId="5" fillId="3" borderId="17" xfId="0" applyNumberFormat="1" applyFont="1" applyFill="1" applyBorder="1"/>
    <xf numFmtId="0" fontId="5" fillId="0" borderId="31" xfId="0" applyFont="1" applyBorder="1" applyAlignment="1">
      <alignment horizontal="right"/>
    </xf>
    <xf numFmtId="0" fontId="4" fillId="0" borderId="0" xfId="0" applyFont="1" applyAlignment="1">
      <alignment vertical="center"/>
    </xf>
    <xf numFmtId="4" fontId="22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4" fontId="31" fillId="0" borderId="0" xfId="0" applyNumberFormat="1" applyFont="1" applyBorder="1" applyAlignment="1">
      <alignment vertical="center"/>
    </xf>
    <xf numFmtId="0" fontId="5" fillId="0" borderId="17" xfId="0" applyFont="1" applyFill="1" applyBorder="1"/>
    <xf numFmtId="0" fontId="32" fillId="0" borderId="0" xfId="0" applyFont="1"/>
    <xf numFmtId="0" fontId="1" fillId="0" borderId="2" xfId="0" applyFont="1" applyBorder="1" applyAlignment="1">
      <alignment vertical="center"/>
    </xf>
    <xf numFmtId="169" fontId="7" fillId="0" borderId="17" xfId="0" applyNumberFormat="1" applyFont="1" applyBorder="1"/>
    <xf numFmtId="9" fontId="23" fillId="0" borderId="17" xfId="2" applyFont="1" applyBorder="1"/>
    <xf numFmtId="10" fontId="23" fillId="0" borderId="17" xfId="2" applyNumberFormat="1" applyFont="1" applyBorder="1"/>
    <xf numFmtId="9" fontId="7" fillId="0" borderId="20" xfId="2" applyFont="1" applyBorder="1"/>
    <xf numFmtId="0" fontId="5" fillId="0" borderId="49" xfId="0" applyFont="1" applyBorder="1"/>
    <xf numFmtId="168" fontId="3" fillId="0" borderId="24" xfId="0" applyNumberFormat="1" applyFont="1" applyBorder="1" applyAlignment="1">
      <alignment vertical="center"/>
    </xf>
    <xf numFmtId="164" fontId="3" fillId="0" borderId="50" xfId="0" applyNumberFormat="1" applyFont="1" applyBorder="1" applyAlignment="1">
      <alignment vertical="center"/>
    </xf>
    <xf numFmtId="9" fontId="3" fillId="0" borderId="20" xfId="2" applyFont="1" applyBorder="1" applyAlignment="1">
      <alignment vertical="center"/>
    </xf>
    <xf numFmtId="173" fontId="3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6" fillId="3" borderId="2" xfId="3" applyNumberFormat="1" applyFont="1" applyFill="1" applyBorder="1" applyAlignment="1">
      <alignment horizontal="center" vertical="center"/>
    </xf>
    <xf numFmtId="165" fontId="6" fillId="8" borderId="2" xfId="3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vertical="center"/>
    </xf>
    <xf numFmtId="165" fontId="3" fillId="10" borderId="3" xfId="3" applyFont="1" applyFill="1" applyBorder="1" applyAlignment="1">
      <alignment vertical="center"/>
    </xf>
    <xf numFmtId="165" fontId="6" fillId="11" borderId="2" xfId="3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5" fontId="3" fillId="0" borderId="11" xfId="3" applyFont="1" applyBorder="1" applyAlignment="1">
      <alignment horizontal="left" vertical="center"/>
    </xf>
    <xf numFmtId="165" fontId="3" fillId="0" borderId="9" xfId="3" applyFont="1" applyBorder="1" applyAlignment="1">
      <alignment horizontal="left" vertical="center"/>
    </xf>
    <xf numFmtId="0" fontId="17" fillId="12" borderId="39" xfId="0" applyFont="1" applyFill="1" applyBorder="1" applyAlignment="1">
      <alignment horizontal="center" vertical="center"/>
    </xf>
    <xf numFmtId="0" fontId="17" fillId="12" borderId="40" xfId="0" applyFont="1" applyFill="1" applyBorder="1" applyAlignment="1">
      <alignment horizontal="center" vertical="center"/>
    </xf>
    <xf numFmtId="0" fontId="17" fillId="12" borderId="41" xfId="0" applyFont="1" applyFill="1" applyBorder="1" applyAlignment="1">
      <alignment horizontal="center" vertical="center"/>
    </xf>
    <xf numFmtId="0" fontId="7" fillId="12" borderId="51" xfId="0" applyFont="1" applyFill="1" applyBorder="1" applyAlignment="1">
      <alignment horizontal="center" vertical="center"/>
    </xf>
    <xf numFmtId="0" fontId="7" fillId="12" borderId="52" xfId="0" applyFont="1" applyFill="1" applyBorder="1" applyAlignment="1">
      <alignment horizontal="center" vertical="center"/>
    </xf>
    <xf numFmtId="0" fontId="7" fillId="12" borderId="53" xfId="0" applyFont="1" applyFill="1" applyBorder="1" applyAlignment="1">
      <alignment horizontal="center" vertical="center"/>
    </xf>
    <xf numFmtId="165" fontId="3" fillId="0" borderId="4" xfId="3" applyFont="1" applyBorder="1" applyAlignment="1">
      <alignment horizontal="center" vertical="center"/>
    </xf>
    <xf numFmtId="165" fontId="3" fillId="0" borderId="5" xfId="3" applyFont="1" applyBorder="1" applyAlignment="1">
      <alignment horizontal="center" vertical="center"/>
    </xf>
    <xf numFmtId="165" fontId="3" fillId="0" borderId="54" xfId="3" applyFont="1" applyBorder="1" applyAlignment="1">
      <alignment horizontal="center" vertical="center"/>
    </xf>
    <xf numFmtId="165" fontId="4" fillId="12" borderId="4" xfId="3" applyFont="1" applyFill="1" applyBorder="1" applyAlignment="1">
      <alignment horizontal="center" vertical="center"/>
    </xf>
    <xf numFmtId="165" fontId="4" fillId="12" borderId="5" xfId="3" applyFont="1" applyFill="1" applyBorder="1" applyAlignment="1">
      <alignment horizontal="center" vertical="center"/>
    </xf>
    <xf numFmtId="165" fontId="4" fillId="12" borderId="6" xfId="3" applyFont="1" applyFill="1" applyBorder="1" applyAlignment="1">
      <alignment horizontal="center" vertical="center"/>
    </xf>
    <xf numFmtId="0" fontId="17" fillId="12" borderId="37" xfId="0" applyFont="1" applyFill="1" applyBorder="1" applyAlignment="1">
      <alignment horizontal="center" vertical="center"/>
    </xf>
    <xf numFmtId="0" fontId="17" fillId="12" borderId="38" xfId="0" applyFont="1" applyFill="1" applyBorder="1" applyAlignment="1">
      <alignment horizontal="center" vertical="center"/>
    </xf>
    <xf numFmtId="0" fontId="17" fillId="12" borderId="8" xfId="0" applyFont="1" applyFill="1" applyBorder="1" applyAlignment="1">
      <alignment horizontal="center" vertical="center"/>
    </xf>
    <xf numFmtId="0" fontId="17" fillId="9" borderId="16" xfId="0" applyFont="1" applyFill="1" applyBorder="1" applyAlignment="1">
      <alignment horizontal="center"/>
    </xf>
    <xf numFmtId="0" fontId="17" fillId="9" borderId="55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9" fontId="7" fillId="0" borderId="37" xfId="2" applyFont="1" applyBorder="1" applyAlignment="1">
      <alignment horizontal="center"/>
    </xf>
    <xf numFmtId="9" fontId="7" fillId="0" borderId="38" xfId="2" applyFont="1" applyBorder="1" applyAlignment="1">
      <alignment horizontal="center"/>
    </xf>
    <xf numFmtId="9" fontId="7" fillId="0" borderId="8" xfId="2" applyFont="1" applyBorder="1" applyAlignment="1">
      <alignment horizontal="center"/>
    </xf>
    <xf numFmtId="0" fontId="4" fillId="9" borderId="39" xfId="0" applyFont="1" applyFill="1" applyBorder="1" applyAlignment="1">
      <alignment horizontal="center" vertical="center"/>
    </xf>
    <xf numFmtId="0" fontId="4" fillId="9" borderId="40" xfId="0" applyFont="1" applyFill="1" applyBorder="1" applyAlignment="1">
      <alignment horizontal="center" vertical="center"/>
    </xf>
    <xf numFmtId="0" fontId="4" fillId="9" borderId="41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17" fillId="9" borderId="37" xfId="0" applyFont="1" applyFill="1" applyBorder="1" applyAlignment="1">
      <alignment horizontal="center"/>
    </xf>
    <xf numFmtId="0" fontId="17" fillId="9" borderId="38" xfId="0" applyFont="1" applyFill="1" applyBorder="1" applyAlignment="1">
      <alignment horizontal="center"/>
    </xf>
    <xf numFmtId="0" fontId="17" fillId="9" borderId="8" xfId="0" applyFont="1" applyFill="1" applyBorder="1" applyAlignment="1">
      <alignment horizontal="center"/>
    </xf>
  </cellXfs>
  <cellStyles count="4">
    <cellStyle name="Hiperlink" xfId="1" builtinId="8"/>
    <cellStyle name="Normal" xfId="0" builtinId="0"/>
    <cellStyle name="Porcentagem" xfId="2" builtinId="5"/>
    <cellStyle name="Vírgula" xfId="3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8237" name="Picture 2">
          <a:extLst>
            <a:ext uri="{FF2B5EF4-FFF2-40B4-BE49-F238E27FC236}">
              <a16:creationId xmlns:a16="http://schemas.microsoft.com/office/drawing/2014/main" id="{00000000-0008-0000-0500-00002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3350" y="742950"/>
          <a:ext cx="1285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8238" name="Picture 1">
          <a:extLst>
            <a:ext uri="{FF2B5EF4-FFF2-40B4-BE49-F238E27FC236}">
              <a16:creationId xmlns:a16="http://schemas.microsoft.com/office/drawing/2014/main" id="{00000000-0008-0000-0500-00002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725" y="1209675"/>
          <a:ext cx="2038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1"/>
  <sheetViews>
    <sheetView tabSelected="1" view="pageBreakPreview" topLeftCell="A64" zoomScaleNormal="100" zoomScaleSheetLayoutView="100" workbookViewId="0">
      <selection activeCell="C231" sqref="C231"/>
    </sheetView>
  </sheetViews>
  <sheetFormatPr defaultRowHeight="12.75" x14ac:dyDescent="0.2"/>
  <cols>
    <col min="1" max="1" width="44.5703125" style="9" customWidth="1"/>
    <col min="2" max="2" width="16" style="9" bestFit="1" customWidth="1"/>
    <col min="3" max="3" width="11.85546875" style="9" customWidth="1"/>
    <col min="4" max="4" width="14.7109375" style="10" customWidth="1"/>
    <col min="5" max="5" width="15.42578125" style="10" customWidth="1"/>
    <col min="6" max="6" width="13.28515625" style="10" customWidth="1"/>
    <col min="7" max="7" width="28.140625" style="10" customWidth="1"/>
    <col min="8" max="8" width="9.140625" style="9"/>
    <col min="9" max="9" width="14.5703125" style="9" customWidth="1"/>
    <col min="10" max="10" width="13.42578125" style="9" customWidth="1"/>
    <col min="11" max="16384" width="9.140625" style="9"/>
  </cols>
  <sheetData>
    <row r="1" spans="1:7" ht="15.75" hidden="1" x14ac:dyDescent="0.2">
      <c r="A1" s="301" t="s">
        <v>197</v>
      </c>
    </row>
    <row r="2" spans="1:7" ht="15.75" hidden="1" x14ac:dyDescent="0.2">
      <c r="A2" s="304" t="s">
        <v>281</v>
      </c>
    </row>
    <row r="3" spans="1:7" ht="15.75" hidden="1" x14ac:dyDescent="0.2">
      <c r="A3" s="304" t="s">
        <v>282</v>
      </c>
    </row>
    <row r="4" spans="1:7" ht="15.75" hidden="1" x14ac:dyDescent="0.2">
      <c r="A4" s="304" t="s">
        <v>284</v>
      </c>
    </row>
    <row r="5" spans="1:7" s="4" customFormat="1" ht="15.6" hidden="1" customHeight="1" x14ac:dyDescent="0.2">
      <c r="A5" s="303" t="s">
        <v>278</v>
      </c>
      <c r="C5" s="138"/>
      <c r="D5" s="138"/>
      <c r="E5" s="138"/>
      <c r="F5" s="138"/>
      <c r="G5" s="6"/>
    </row>
    <row r="6" spans="1:7" s="4" customFormat="1" ht="15.6" hidden="1" customHeight="1" x14ac:dyDescent="0.2">
      <c r="A6" s="302" t="s">
        <v>283</v>
      </c>
      <c r="B6" s="138"/>
      <c r="C6" s="138"/>
      <c r="D6" s="138"/>
      <c r="E6" s="138"/>
      <c r="F6" s="138"/>
      <c r="G6" s="6"/>
    </row>
    <row r="7" spans="1:7" s="4" customFormat="1" ht="15.6" hidden="1" customHeight="1" x14ac:dyDescent="0.2">
      <c r="A7" s="137"/>
      <c r="B7" s="138"/>
      <c r="C7" s="138"/>
      <c r="D7" s="138"/>
      <c r="E7" s="138"/>
      <c r="F7" s="138"/>
      <c r="G7" s="6"/>
    </row>
    <row r="8" spans="1:7" s="4" customFormat="1" ht="15.6" hidden="1" customHeight="1" x14ac:dyDescent="0.2">
      <c r="A8" s="304" t="s">
        <v>289</v>
      </c>
      <c r="B8" s="138"/>
      <c r="C8" s="138"/>
      <c r="D8" s="138"/>
      <c r="E8" s="138"/>
      <c r="F8" s="138"/>
      <c r="G8" s="6"/>
    </row>
    <row r="9" spans="1:7" s="4" customFormat="1" ht="15.6" hidden="1" customHeight="1" x14ac:dyDescent="0.2">
      <c r="A9" s="304" t="s">
        <v>286</v>
      </c>
      <c r="B9" s="138"/>
      <c r="C9" s="138"/>
      <c r="D9" s="138"/>
      <c r="E9" s="138"/>
      <c r="F9" s="138"/>
      <c r="G9" s="6"/>
    </row>
    <row r="10" spans="1:7" s="4" customFormat="1" ht="16.5" customHeight="1" thickBot="1" x14ac:dyDescent="0.25">
      <c r="A10" s="7"/>
      <c r="B10" s="5"/>
      <c r="C10" s="5"/>
      <c r="D10" s="6"/>
      <c r="E10" s="6"/>
      <c r="F10" s="6"/>
      <c r="G10" s="6"/>
    </row>
    <row r="11" spans="1:7" s="8" customFormat="1" ht="18" x14ac:dyDescent="0.2">
      <c r="A11" s="329" t="s">
        <v>312</v>
      </c>
      <c r="B11" s="330"/>
      <c r="C11" s="330"/>
      <c r="D11" s="330"/>
      <c r="E11" s="330"/>
      <c r="F11" s="331"/>
      <c r="G11" s="36"/>
    </row>
    <row r="12" spans="1:7" s="8" customFormat="1" ht="21.75" customHeight="1" x14ac:dyDescent="0.2">
      <c r="A12" s="332" t="s">
        <v>39</v>
      </c>
      <c r="B12" s="333"/>
      <c r="C12" s="333"/>
      <c r="D12" s="333"/>
      <c r="E12" s="333"/>
      <c r="F12" s="334"/>
      <c r="G12" s="36"/>
    </row>
    <row r="13" spans="1:7" s="4" customFormat="1" ht="10.9" customHeight="1" thickBot="1" x14ac:dyDescent="0.25">
      <c r="A13" s="149"/>
      <c r="B13" s="150"/>
      <c r="C13" s="150"/>
      <c r="D13" s="151"/>
      <c r="E13" s="151"/>
      <c r="F13" s="152"/>
      <c r="G13" s="6"/>
    </row>
    <row r="14" spans="1:7" s="4" customFormat="1" ht="15.75" customHeight="1" thickBot="1" x14ac:dyDescent="0.25">
      <c r="A14" s="338" t="s">
        <v>196</v>
      </c>
      <c r="B14" s="339"/>
      <c r="C14" s="339"/>
      <c r="D14" s="339"/>
      <c r="E14" s="339"/>
      <c r="F14" s="340"/>
      <c r="G14" s="6"/>
    </row>
    <row r="15" spans="1:7" s="4" customFormat="1" ht="15.75" customHeight="1" x14ac:dyDescent="0.2">
      <c r="A15" s="64" t="s">
        <v>195</v>
      </c>
      <c r="B15" s="40"/>
      <c r="C15" s="40"/>
      <c r="D15" s="258"/>
      <c r="E15" s="114" t="s">
        <v>34</v>
      </c>
      <c r="F15" s="41" t="s">
        <v>2</v>
      </c>
      <c r="G15" s="6"/>
    </row>
    <row r="16" spans="1:7" s="11" customFormat="1" ht="15.75" customHeight="1" x14ac:dyDescent="0.2">
      <c r="A16" s="124" t="str">
        <f>A54</f>
        <v>1. Mão-de-obra</v>
      </c>
      <c r="B16" s="125"/>
      <c r="C16" s="126"/>
      <c r="D16" s="126"/>
      <c r="E16" s="256">
        <f>+F144</f>
        <v>14782.018749400528</v>
      </c>
      <c r="F16" s="127">
        <f t="shared" ref="F16:F35" si="0">IFERROR(E16/$E$37,0)</f>
        <v>0.33225425446210266</v>
      </c>
      <c r="G16" s="44"/>
    </row>
    <row r="17" spans="1:7" s="4" customFormat="1" ht="15.75" customHeight="1" x14ac:dyDescent="0.2">
      <c r="A17" s="49" t="str">
        <f>A56</f>
        <v xml:space="preserve"> 1.1-VARREDOR,GARI,LIMPEZA URBANA</v>
      </c>
      <c r="B17" s="45"/>
      <c r="C17" s="47"/>
      <c r="D17" s="47"/>
      <c r="E17" s="257">
        <f>F67</f>
        <v>3776.3058464504575</v>
      </c>
      <c r="F17" s="58">
        <f t="shared" si="0"/>
        <v>8.4879724813240354E-2</v>
      </c>
      <c r="G17" s="6"/>
    </row>
    <row r="18" spans="1:7" s="4" customFormat="1" ht="15.75" customHeight="1" x14ac:dyDescent="0.2">
      <c r="A18" s="49" t="str">
        <f>A69</f>
        <v>1.2. Coletor Turno Noite</v>
      </c>
      <c r="B18" s="45"/>
      <c r="C18" s="47"/>
      <c r="D18" s="47"/>
      <c r="E18" s="257">
        <f>F86</f>
        <v>0</v>
      </c>
      <c r="F18" s="58">
        <f t="shared" si="0"/>
        <v>0</v>
      </c>
      <c r="G18" s="6"/>
    </row>
    <row r="19" spans="1:7" s="4" customFormat="1" ht="15.75" customHeight="1" x14ac:dyDescent="0.2">
      <c r="A19" s="49" t="str">
        <f>A88</f>
        <v>1.3. Operador de máquina</v>
      </c>
      <c r="B19" s="45"/>
      <c r="C19" s="47"/>
      <c r="D19" s="47"/>
      <c r="E19" s="257">
        <f>F101</f>
        <v>5501.28250295007</v>
      </c>
      <c r="F19" s="58">
        <f t="shared" si="0"/>
        <v>0.12365188730918172</v>
      </c>
      <c r="G19" s="6"/>
    </row>
    <row r="20" spans="1:7" s="4" customFormat="1" ht="15.75" customHeight="1" x14ac:dyDescent="0.2">
      <c r="A20" s="49" t="str">
        <f>A103</f>
        <v>1.4. Motorista Turno Noite</v>
      </c>
      <c r="B20" s="45"/>
      <c r="C20" s="47"/>
      <c r="D20" s="47"/>
      <c r="E20" s="257">
        <f>F122</f>
        <v>0</v>
      </c>
      <c r="F20" s="58">
        <f t="shared" si="0"/>
        <v>0</v>
      </c>
      <c r="G20" s="6"/>
    </row>
    <row r="21" spans="1:7" s="4" customFormat="1" ht="15.75" customHeight="1" x14ac:dyDescent="0.2">
      <c r="A21" s="49" t="str">
        <f>A124</f>
        <v>1.5. Vale Transporte</v>
      </c>
      <c r="B21" s="45"/>
      <c r="C21" s="47"/>
      <c r="D21" s="47"/>
      <c r="E21" s="257">
        <f>F130</f>
        <v>360.43039999999996</v>
      </c>
      <c r="F21" s="58">
        <f t="shared" si="0"/>
        <v>8.1013653052181365E-3</v>
      </c>
      <c r="G21" s="6"/>
    </row>
    <row r="22" spans="1:7" s="4" customFormat="1" ht="15.75" customHeight="1" x14ac:dyDescent="0.2">
      <c r="A22" s="49" t="str">
        <f>A132</f>
        <v>1.6. Vale-refeição (diário)</v>
      </c>
      <c r="B22" s="45"/>
      <c r="C22" s="47"/>
      <c r="D22" s="47"/>
      <c r="E22" s="257">
        <f>F136</f>
        <v>1144</v>
      </c>
      <c r="F22" s="58">
        <f t="shared" si="0"/>
        <v>2.5713596603309682E-2</v>
      </c>
      <c r="G22" s="6"/>
    </row>
    <row r="23" spans="1:7" s="4" customFormat="1" ht="15.75" customHeight="1" x14ac:dyDescent="0.2">
      <c r="A23" s="49" t="str">
        <f>A138</f>
        <v>1.7. Balança (pesagem)</v>
      </c>
      <c r="B23" s="45"/>
      <c r="C23" s="47"/>
      <c r="D23" s="47"/>
      <c r="E23" s="257">
        <f>F142</f>
        <v>4000</v>
      </c>
      <c r="F23" s="58">
        <f t="shared" si="0"/>
        <v>8.9907680431152728E-2</v>
      </c>
      <c r="G23" s="6"/>
    </row>
    <row r="24" spans="1:7" s="11" customFormat="1" ht="15.75" customHeight="1" x14ac:dyDescent="0.2">
      <c r="A24" s="327" t="str">
        <f>A146</f>
        <v>2. Uniformes e Equipamentos de Proteção Individual</v>
      </c>
      <c r="B24" s="328"/>
      <c r="C24" s="328"/>
      <c r="D24" s="126"/>
      <c r="E24" s="256">
        <f>+F178</f>
        <v>368</v>
      </c>
      <c r="F24" s="127">
        <f t="shared" si="0"/>
        <v>8.2715065996660508E-3</v>
      </c>
      <c r="G24" s="44"/>
    </row>
    <row r="25" spans="1:7" s="11" customFormat="1" ht="15.75" customHeight="1" x14ac:dyDescent="0.2">
      <c r="A25" s="135" t="str">
        <f>A180</f>
        <v>3. Veículos e Equipamentos</v>
      </c>
      <c r="B25" s="136"/>
      <c r="C25" s="126"/>
      <c r="D25" s="126"/>
      <c r="E25" s="256">
        <f>+F257</f>
        <v>17274.53254375</v>
      </c>
      <c r="F25" s="127">
        <f t="shared" si="0"/>
        <v>0.3882782878852557</v>
      </c>
      <c r="G25" s="44"/>
    </row>
    <row r="26" spans="1:7" s="4" customFormat="1" ht="15.75" customHeight="1" x14ac:dyDescent="0.2">
      <c r="A26" s="65" t="str">
        <f>A182</f>
        <v xml:space="preserve">3.1. Veículo caregador </v>
      </c>
      <c r="B26" s="46"/>
      <c r="C26" s="47"/>
      <c r="D26" s="47"/>
      <c r="E26" s="257">
        <f>SUM(E27:E32)</f>
        <v>17274.53254375</v>
      </c>
      <c r="F26" s="142">
        <f t="shared" si="0"/>
        <v>0.3882782878852557</v>
      </c>
      <c r="G26" s="6"/>
    </row>
    <row r="27" spans="1:7" s="4" customFormat="1" ht="15.75" customHeight="1" x14ac:dyDescent="0.2">
      <c r="A27" s="65" t="str">
        <f>A184</f>
        <v>3.1.1. Depreciação</v>
      </c>
      <c r="B27" s="46"/>
      <c r="C27" s="47"/>
      <c r="D27" s="47"/>
      <c r="E27" s="257">
        <f>F198</f>
        <v>2167.2350000000001</v>
      </c>
      <c r="F27" s="142">
        <f t="shared" si="0"/>
        <v>4.8712767949802324E-2</v>
      </c>
      <c r="G27" s="6"/>
    </row>
    <row r="28" spans="1:7" s="4" customFormat="1" ht="15.75" customHeight="1" x14ac:dyDescent="0.2">
      <c r="A28" s="65" t="str">
        <f>A200</f>
        <v>3.1.2. Remuneração do Capital</v>
      </c>
      <c r="B28" s="46"/>
      <c r="C28" s="47"/>
      <c r="D28" s="47"/>
      <c r="E28" s="257">
        <f>F214</f>
        <v>3230.8983437500005</v>
      </c>
      <c r="F28" s="142">
        <f t="shared" si="0"/>
        <v>7.2620643948853925E-2</v>
      </c>
      <c r="G28" s="6"/>
    </row>
    <row r="29" spans="1:7" s="4" customFormat="1" ht="15.75" customHeight="1" x14ac:dyDescent="0.2">
      <c r="A29" s="65" t="str">
        <f>A216</f>
        <v>3.1.3. Impostos e Seguros</v>
      </c>
      <c r="B29" s="46"/>
      <c r="C29" s="47"/>
      <c r="D29" s="47"/>
      <c r="E29" s="257">
        <f>F222</f>
        <v>997.5</v>
      </c>
      <c r="F29" s="142">
        <f t="shared" si="0"/>
        <v>2.2420727807518713E-2</v>
      </c>
      <c r="G29" s="6"/>
    </row>
    <row r="30" spans="1:7" s="4" customFormat="1" ht="15.75" customHeight="1" x14ac:dyDescent="0.2">
      <c r="A30" s="65" t="str">
        <f>A224</f>
        <v>3.1.4. Consumos</v>
      </c>
      <c r="B30" s="46"/>
      <c r="C30" s="47"/>
      <c r="D30" s="47"/>
      <c r="E30" s="257">
        <f>F240</f>
        <v>6644.7680000000009</v>
      </c>
      <c r="F30" s="142">
        <f t="shared" si="0"/>
        <v>0.14935391947078749</v>
      </c>
      <c r="G30" s="6"/>
    </row>
    <row r="31" spans="1:7" s="4" customFormat="1" ht="15.75" customHeight="1" x14ac:dyDescent="0.2">
      <c r="A31" s="65" t="str">
        <f>A242</f>
        <v>3.1.5. Manutenção</v>
      </c>
      <c r="B31" s="46"/>
      <c r="C31" s="47"/>
      <c r="D31" s="47"/>
      <c r="E31" s="257">
        <f>F245</f>
        <v>3542.2400000000002</v>
      </c>
      <c r="F31" s="142">
        <f t="shared" si="0"/>
        <v>7.9618645482611619E-2</v>
      </c>
      <c r="G31" s="6"/>
    </row>
    <row r="32" spans="1:7" s="4" customFormat="1" ht="15.75" customHeight="1" x14ac:dyDescent="0.2">
      <c r="A32" s="65" t="str">
        <f>A247</f>
        <v>3.1.6. Pneus</v>
      </c>
      <c r="B32" s="46"/>
      <c r="C32" s="47"/>
      <c r="D32" s="47"/>
      <c r="E32" s="257">
        <f>F254</f>
        <v>691.89120000000003</v>
      </c>
      <c r="F32" s="142">
        <f t="shared" si="0"/>
        <v>1.5551583225681695E-2</v>
      </c>
      <c r="G32" s="6"/>
    </row>
    <row r="33" spans="1:7" s="11" customFormat="1" ht="15.75" customHeight="1" x14ac:dyDescent="0.2">
      <c r="A33" s="135" t="str">
        <f>A259</f>
        <v>4. Ferramentas e Materiais de Consumo</v>
      </c>
      <c r="B33" s="136"/>
      <c r="C33" s="126"/>
      <c r="D33" s="126"/>
      <c r="E33" s="256">
        <f>+F269</f>
        <v>122.5</v>
      </c>
      <c r="F33" s="127">
        <f t="shared" si="0"/>
        <v>2.7534227132040524E-3</v>
      </c>
      <c r="G33" s="44"/>
    </row>
    <row r="34" spans="1:7" s="11" customFormat="1" ht="15.75" customHeight="1" x14ac:dyDescent="0.2">
      <c r="A34" s="135" t="str">
        <f>A271</f>
        <v>5. Monitoramento da Frota</v>
      </c>
      <c r="B34" s="136"/>
      <c r="C34" s="126"/>
      <c r="D34" s="126"/>
      <c r="E34" s="256">
        <f>+F280</f>
        <v>210</v>
      </c>
      <c r="F34" s="127">
        <f t="shared" si="0"/>
        <v>4.720153222635518E-3</v>
      </c>
      <c r="G34" s="44"/>
    </row>
    <row r="35" spans="1:7" s="11" customFormat="1" ht="15.75" customHeight="1" thickBot="1" x14ac:dyDescent="0.25">
      <c r="A35" s="135" t="str">
        <f>A284</f>
        <v>6. Benefícios e Despesas Indiretas - BDI</v>
      </c>
      <c r="B35" s="136"/>
      <c r="C35" s="126"/>
      <c r="D35" s="126"/>
      <c r="E35" s="313">
        <f>+F290</f>
        <v>8733.0298747539309</v>
      </c>
      <c r="F35" s="127">
        <f t="shared" si="0"/>
        <v>0.19629161479377155</v>
      </c>
      <c r="G35" s="44"/>
    </row>
    <row r="36" spans="1:7" s="11" customFormat="1" ht="15.75" customHeight="1" thickBot="1" x14ac:dyDescent="0.25">
      <c r="A36" s="11" t="s">
        <v>318</v>
      </c>
      <c r="E36" s="316">
        <v>3000</v>
      </c>
      <c r="F36" s="127">
        <f t="shared" ref="F36" si="1">IFERROR(E36/$E$37,0)</f>
        <v>6.743076032336455E-2</v>
      </c>
      <c r="G36" s="44"/>
    </row>
    <row r="37" spans="1:7" s="4" customFormat="1" ht="15.75" customHeight="1" thickBot="1" x14ac:dyDescent="0.25">
      <c r="A37" s="42" t="s">
        <v>322</v>
      </c>
      <c r="B37" s="43"/>
      <c r="C37" s="26"/>
      <c r="D37" s="26"/>
      <c r="E37" s="314">
        <f>E16+E24+E25+E33+E34+E35+E36</f>
        <v>44490.081167904456</v>
      </c>
      <c r="F37" s="315">
        <f>F16+F24+F25+F33+F34+F35+F36</f>
        <v>1</v>
      </c>
      <c r="G37" s="6"/>
    </row>
    <row r="39" spans="1:7" ht="13.5" thickBot="1" x14ac:dyDescent="0.25"/>
    <row r="40" spans="1:7" s="4" customFormat="1" ht="15" customHeight="1" thickBot="1" x14ac:dyDescent="0.25">
      <c r="A40" s="338" t="s">
        <v>92</v>
      </c>
      <c r="B40" s="339"/>
      <c r="C40" s="339"/>
      <c r="D40" s="339"/>
      <c r="E40" s="340"/>
      <c r="F40" s="10"/>
      <c r="G40" s="6"/>
    </row>
    <row r="41" spans="1:7" s="4" customFormat="1" ht="15" customHeight="1" thickBot="1" x14ac:dyDescent="0.25">
      <c r="A41" s="335" t="s">
        <v>35</v>
      </c>
      <c r="B41" s="336"/>
      <c r="C41" s="336"/>
      <c r="D41" s="337"/>
      <c r="E41" s="48" t="s">
        <v>36</v>
      </c>
      <c r="F41" s="10"/>
      <c r="G41" s="6"/>
    </row>
    <row r="42" spans="1:7" s="4" customFormat="1" ht="15" customHeight="1" x14ac:dyDescent="0.2">
      <c r="A42" s="73" t="s">
        <v>314</v>
      </c>
      <c r="B42" s="74"/>
      <c r="C42" s="74"/>
      <c r="D42" s="75"/>
      <c r="E42" s="76">
        <f>C66</f>
        <v>1</v>
      </c>
      <c r="F42" s="10"/>
      <c r="G42" s="6"/>
    </row>
    <row r="43" spans="1:7" s="4" customFormat="1" ht="15" customHeight="1" x14ac:dyDescent="0.2">
      <c r="A43" s="67" t="str">
        <f>+A69</f>
        <v>1.2. Coletor Turno Noite</v>
      </c>
      <c r="B43" s="66"/>
      <c r="C43" s="66"/>
      <c r="D43" s="77"/>
      <c r="E43" s="70">
        <f>C85</f>
        <v>0</v>
      </c>
      <c r="F43" s="10"/>
      <c r="G43" s="6"/>
    </row>
    <row r="44" spans="1:7" s="4" customFormat="1" ht="15" customHeight="1" x14ac:dyDescent="0.2">
      <c r="A44" s="67" t="str">
        <f>+A88</f>
        <v>1.3. Operador de máquina</v>
      </c>
      <c r="B44" s="66"/>
      <c r="C44" s="66"/>
      <c r="D44" s="77"/>
      <c r="E44" s="70">
        <f>C100</f>
        <v>1</v>
      </c>
      <c r="F44" s="10"/>
      <c r="G44" s="6"/>
    </row>
    <row r="45" spans="1:7" s="4" customFormat="1" ht="15" customHeight="1" x14ac:dyDescent="0.2">
      <c r="A45" s="67" t="str">
        <f>+A103</f>
        <v>1.4. Motorista Turno Noite</v>
      </c>
      <c r="B45" s="66"/>
      <c r="C45" s="66"/>
      <c r="D45" s="77"/>
      <c r="E45" s="70">
        <f>C121</f>
        <v>0</v>
      </c>
      <c r="F45" s="10"/>
      <c r="G45" s="6"/>
    </row>
    <row r="46" spans="1:7" s="4" customFormat="1" ht="15" customHeight="1" thickBot="1" x14ac:dyDescent="0.25">
      <c r="A46" s="71" t="s">
        <v>54</v>
      </c>
      <c r="B46" s="72"/>
      <c r="C46" s="72"/>
      <c r="D46" s="78"/>
      <c r="E46" s="79">
        <f>SUM(E42:E45)</f>
        <v>2</v>
      </c>
      <c r="F46" s="10"/>
      <c r="G46" s="6"/>
    </row>
    <row r="47" spans="1:7" s="4" customFormat="1" ht="15" customHeight="1" thickBot="1" x14ac:dyDescent="0.25">
      <c r="A47" s="128"/>
      <c r="B47" s="129"/>
      <c r="C47" s="59"/>
      <c r="D47" s="59"/>
      <c r="E47" s="130"/>
      <c r="F47" s="10"/>
      <c r="G47" s="6"/>
    </row>
    <row r="48" spans="1:7" s="4" customFormat="1" ht="15" customHeight="1" x14ac:dyDescent="0.2">
      <c r="A48" s="325" t="s">
        <v>51</v>
      </c>
      <c r="B48" s="326"/>
      <c r="C48" s="326"/>
      <c r="D48" s="326"/>
      <c r="E48" s="48" t="s">
        <v>36</v>
      </c>
      <c r="F48" s="9"/>
      <c r="G48" s="6"/>
    </row>
    <row r="49" spans="1:7" s="4" customFormat="1" ht="15" customHeight="1" thickBot="1" x14ac:dyDescent="0.25">
      <c r="A49" s="131" t="str">
        <f>+A182</f>
        <v xml:space="preserve">3.1. Veículo caregador </v>
      </c>
      <c r="B49" s="132"/>
      <c r="C49" s="132"/>
      <c r="D49" s="133"/>
      <c r="E49" s="134">
        <f>C197</f>
        <v>1</v>
      </c>
      <c r="F49" s="9"/>
      <c r="G49" s="6"/>
    </row>
    <row r="50" spans="1:7" s="4" customFormat="1" ht="15" customHeight="1" x14ac:dyDescent="0.2">
      <c r="A50" s="59"/>
      <c r="B50" s="59"/>
      <c r="C50" s="59"/>
      <c r="D50" s="54"/>
      <c r="E50" s="249"/>
      <c r="F50" s="9"/>
      <c r="G50" s="6"/>
    </row>
    <row r="51" spans="1:7" s="4" customFormat="1" ht="13.5" thickBot="1" x14ac:dyDescent="0.25">
      <c r="A51" s="59"/>
      <c r="B51" s="59"/>
      <c r="C51" s="59"/>
      <c r="D51" s="54"/>
      <c r="E51" s="68"/>
      <c r="F51" s="9"/>
      <c r="G51" s="6"/>
    </row>
    <row r="52" spans="1:7" s="11" customFormat="1" ht="15.75" customHeight="1" thickBot="1" x14ac:dyDescent="0.25">
      <c r="A52" s="259" t="s">
        <v>190</v>
      </c>
      <c r="B52" s="260">
        <v>1</v>
      </c>
      <c r="C52" s="35"/>
      <c r="D52" s="34"/>
      <c r="E52" s="154"/>
      <c r="G52" s="44"/>
    </row>
    <row r="53" spans="1:7" s="4" customFormat="1" ht="15.75" customHeight="1" x14ac:dyDescent="0.2">
      <c r="A53" s="59"/>
      <c r="B53" s="59"/>
      <c r="C53" s="59"/>
      <c r="D53" s="54"/>
      <c r="E53" s="68"/>
      <c r="F53" s="9"/>
      <c r="G53" s="6"/>
    </row>
    <row r="54" spans="1:7" ht="13.15" customHeight="1" x14ac:dyDescent="0.2">
      <c r="A54" s="11" t="s">
        <v>42</v>
      </c>
    </row>
    <row r="55" spans="1:7" ht="11.25" customHeight="1" x14ac:dyDescent="0.2"/>
    <row r="56" spans="1:7" ht="13.9" customHeight="1" thickBot="1" x14ac:dyDescent="0.25">
      <c r="A56" s="7" t="s">
        <v>315</v>
      </c>
    </row>
    <row r="57" spans="1:7" ht="13.9" customHeight="1" thickBot="1" x14ac:dyDescent="0.25">
      <c r="A57" s="60" t="s">
        <v>59</v>
      </c>
      <c r="B57" s="61" t="s">
        <v>60</v>
      </c>
      <c r="C57" s="61" t="s">
        <v>36</v>
      </c>
      <c r="D57" s="62" t="s">
        <v>233</v>
      </c>
      <c r="E57" s="62" t="s">
        <v>61</v>
      </c>
      <c r="F57" s="63" t="s">
        <v>62</v>
      </c>
    </row>
    <row r="58" spans="1:7" ht="13.15" customHeight="1" x14ac:dyDescent="0.2">
      <c r="A58" s="13" t="s">
        <v>211</v>
      </c>
      <c r="B58" s="14" t="s">
        <v>8</v>
      </c>
      <c r="C58" s="14">
        <v>1</v>
      </c>
      <c r="D58" s="87">
        <v>1458.44</v>
      </c>
      <c r="E58" s="15">
        <f>C58*D58</f>
        <v>1458.44</v>
      </c>
    </row>
    <row r="59" spans="1:7" x14ac:dyDescent="0.2">
      <c r="A59" s="16" t="s">
        <v>30</v>
      </c>
      <c r="B59" s="17" t="s">
        <v>0</v>
      </c>
      <c r="C59" s="88">
        <v>6.72</v>
      </c>
      <c r="D59" s="18">
        <f>D58/220*2</f>
        <v>13.258545454545455</v>
      </c>
      <c r="E59" s="18">
        <f>C59*D59</f>
        <v>89.097425454545458</v>
      </c>
    </row>
    <row r="60" spans="1:7" ht="13.15" customHeight="1" x14ac:dyDescent="0.2">
      <c r="A60" s="16" t="s">
        <v>31</v>
      </c>
      <c r="B60" s="17" t="s">
        <v>0</v>
      </c>
      <c r="C60" s="88"/>
      <c r="D60" s="18">
        <f>D58/220*1.5</f>
        <v>9.9439090909090915</v>
      </c>
      <c r="E60" s="18">
        <f>C60*D60</f>
        <v>0</v>
      </c>
    </row>
    <row r="61" spans="1:7" ht="13.15" customHeight="1" x14ac:dyDescent="0.2">
      <c r="A61" s="16" t="s">
        <v>214</v>
      </c>
      <c r="B61" s="17" t="s">
        <v>29</v>
      </c>
      <c r="D61" s="18">
        <f>63/302*(SUM(E59:E60))</f>
        <v>18.586549018663458</v>
      </c>
      <c r="E61" s="18">
        <f>D61</f>
        <v>18.586549018663458</v>
      </c>
    </row>
    <row r="62" spans="1:7" x14ac:dyDescent="0.2">
      <c r="A62" s="16" t="s">
        <v>1</v>
      </c>
      <c r="B62" s="17" t="s">
        <v>2</v>
      </c>
      <c r="C62" s="17">
        <v>40</v>
      </c>
      <c r="D62" s="83">
        <f>SUM(E58:E61)</f>
        <v>1566.1239744732088</v>
      </c>
      <c r="E62" s="18">
        <f>C62*D62/100</f>
        <v>626.44958978928344</v>
      </c>
    </row>
    <row r="63" spans="1:7" x14ac:dyDescent="0.2">
      <c r="A63" s="115" t="s">
        <v>3</v>
      </c>
      <c r="B63" s="116"/>
      <c r="C63" s="116"/>
      <c r="D63" s="117"/>
      <c r="E63" s="118">
        <f>SUM(E58:E62)</f>
        <v>2192.5735642624923</v>
      </c>
    </row>
    <row r="64" spans="1:7" x14ac:dyDescent="0.2">
      <c r="A64" s="16" t="s">
        <v>4</v>
      </c>
      <c r="B64" s="17" t="s">
        <v>2</v>
      </c>
      <c r="C64" s="140">
        <f>'2.Encargos Sociais'!$C$37*100</f>
        <v>72.231660000000005</v>
      </c>
      <c r="D64" s="18">
        <f>E63</f>
        <v>2192.5735642624923</v>
      </c>
      <c r="E64" s="18">
        <f>D64*C64/100</f>
        <v>1583.732282187965</v>
      </c>
    </row>
    <row r="65" spans="1:7" x14ac:dyDescent="0.2">
      <c r="A65" s="115" t="s">
        <v>68</v>
      </c>
      <c r="B65" s="116"/>
      <c r="C65" s="116"/>
      <c r="D65" s="117"/>
      <c r="E65" s="118">
        <f>E63+E64</f>
        <v>3776.3058464504575</v>
      </c>
    </row>
    <row r="66" spans="1:7" ht="13.5" thickBot="1" x14ac:dyDescent="0.25">
      <c r="A66" s="16" t="s">
        <v>5</v>
      </c>
      <c r="B66" s="17" t="s">
        <v>6</v>
      </c>
      <c r="C66" s="86">
        <v>1</v>
      </c>
      <c r="D66" s="18">
        <f>E65</f>
        <v>3776.3058464504575</v>
      </c>
      <c r="E66" s="18">
        <f>C66*D66</f>
        <v>3776.3058464504575</v>
      </c>
      <c r="G66" s="6"/>
    </row>
    <row r="67" spans="1:7" ht="13.9" customHeight="1" thickBot="1" x14ac:dyDescent="0.25">
      <c r="D67" s="122" t="s">
        <v>189</v>
      </c>
      <c r="E67" s="50">
        <f>$B$52</f>
        <v>1</v>
      </c>
      <c r="F67" s="123">
        <f>E66*E67</f>
        <v>3776.3058464504575</v>
      </c>
      <c r="G67" s="6"/>
    </row>
    <row r="68" spans="1:7" ht="11.25" customHeight="1" x14ac:dyDescent="0.2"/>
    <row r="69" spans="1:7" ht="13.5" thickBot="1" x14ac:dyDescent="0.25">
      <c r="A69" s="9" t="s">
        <v>86</v>
      </c>
    </row>
    <row r="70" spans="1:7" ht="13.5" thickBot="1" x14ac:dyDescent="0.25">
      <c r="A70" s="60" t="s">
        <v>59</v>
      </c>
      <c r="B70" s="61" t="s">
        <v>60</v>
      </c>
      <c r="C70" s="61" t="s">
        <v>36</v>
      </c>
      <c r="D70" s="62" t="s">
        <v>233</v>
      </c>
      <c r="E70" s="62" t="s">
        <v>61</v>
      </c>
      <c r="F70" s="63" t="s">
        <v>62</v>
      </c>
    </row>
    <row r="71" spans="1:7" x14ac:dyDescent="0.2">
      <c r="A71" s="13" t="s">
        <v>211</v>
      </c>
      <c r="B71" s="14" t="s">
        <v>8</v>
      </c>
      <c r="C71" s="14">
        <v>1</v>
      </c>
      <c r="D71" s="15">
        <f>D58</f>
        <v>1458.44</v>
      </c>
      <c r="E71" s="15">
        <f>C71*D71</f>
        <v>1458.44</v>
      </c>
    </row>
    <row r="72" spans="1:7" x14ac:dyDescent="0.2">
      <c r="A72" s="16" t="s">
        <v>7</v>
      </c>
      <c r="B72" s="17" t="s">
        <v>93</v>
      </c>
      <c r="C72" s="88"/>
      <c r="D72" s="18"/>
      <c r="E72" s="18"/>
    </row>
    <row r="73" spans="1:7" x14ac:dyDescent="0.2">
      <c r="A73" s="16"/>
      <c r="B73" s="17" t="s">
        <v>96</v>
      </c>
      <c r="C73" s="119">
        <f>C72*8/7</f>
        <v>0</v>
      </c>
      <c r="D73" s="18">
        <f>D71/220*0.2</f>
        <v>1.3258545454545456</v>
      </c>
      <c r="E73" s="18">
        <f>C72*D73</f>
        <v>0</v>
      </c>
    </row>
    <row r="74" spans="1:7" x14ac:dyDescent="0.2">
      <c r="A74" s="16" t="s">
        <v>30</v>
      </c>
      <c r="B74" s="17" t="s">
        <v>0</v>
      </c>
      <c r="C74" s="88"/>
      <c r="D74" s="18">
        <f>D71/220*2</f>
        <v>13.258545454545455</v>
      </c>
      <c r="E74" s="18">
        <f>C74*D74</f>
        <v>0</v>
      </c>
    </row>
    <row r="75" spans="1:7" x14ac:dyDescent="0.2">
      <c r="A75" s="16" t="s">
        <v>94</v>
      </c>
      <c r="B75" s="17" t="s">
        <v>93</v>
      </c>
      <c r="C75" s="88"/>
      <c r="D75" s="18"/>
      <c r="E75" s="18"/>
    </row>
    <row r="76" spans="1:7" x14ac:dyDescent="0.2">
      <c r="A76" s="16"/>
      <c r="B76" s="17" t="s">
        <v>96</v>
      </c>
      <c r="C76" s="119">
        <f>C75*8/7</f>
        <v>0</v>
      </c>
      <c r="D76" s="18">
        <f>D71/220*2*1.2</f>
        <v>15.910254545454546</v>
      </c>
      <c r="E76" s="18">
        <f>C76*D76</f>
        <v>0</v>
      </c>
    </row>
    <row r="77" spans="1:7" x14ac:dyDescent="0.2">
      <c r="A77" s="16" t="s">
        <v>31</v>
      </c>
      <c r="B77" s="17" t="s">
        <v>0</v>
      </c>
      <c r="C77" s="88"/>
      <c r="D77" s="18">
        <f>D71/220*1.5</f>
        <v>9.9439090909090915</v>
      </c>
      <c r="E77" s="18">
        <f>C77*D77</f>
        <v>0</v>
      </c>
    </row>
    <row r="78" spans="1:7" x14ac:dyDescent="0.2">
      <c r="A78" s="16" t="s">
        <v>213</v>
      </c>
      <c r="B78" s="17" t="s">
        <v>93</v>
      </c>
      <c r="C78" s="88"/>
      <c r="D78" s="18"/>
      <c r="E78" s="18"/>
    </row>
    <row r="79" spans="1:7" x14ac:dyDescent="0.2">
      <c r="A79" s="16"/>
      <c r="B79" s="17" t="s">
        <v>96</v>
      </c>
      <c r="C79" s="18">
        <f>C78*8/7</f>
        <v>0</v>
      </c>
      <c r="D79" s="18">
        <f>D71/220*1.5*1.2</f>
        <v>11.93269090909091</v>
      </c>
      <c r="E79" s="18">
        <f>C79*D79</f>
        <v>0</v>
      </c>
    </row>
    <row r="80" spans="1:7" ht="13.15" customHeight="1" x14ac:dyDescent="0.2">
      <c r="A80" s="16" t="s">
        <v>214</v>
      </c>
      <c r="B80" s="17" t="s">
        <v>29</v>
      </c>
      <c r="D80" s="18">
        <f>63/302*(SUM(E74:E79))</f>
        <v>0</v>
      </c>
      <c r="E80" s="18">
        <f>D80</f>
        <v>0</v>
      </c>
    </row>
    <row r="81" spans="1:7" x14ac:dyDescent="0.2">
      <c r="A81" s="16" t="s">
        <v>1</v>
      </c>
      <c r="B81" s="17" t="s">
        <v>2</v>
      </c>
      <c r="C81" s="17">
        <f>+C62</f>
        <v>40</v>
      </c>
      <c r="D81" s="83">
        <f>SUM(E71:E80)</f>
        <v>1458.44</v>
      </c>
      <c r="E81" s="18">
        <f>C81*D81/100</f>
        <v>583.37600000000009</v>
      </c>
    </row>
    <row r="82" spans="1:7" x14ac:dyDescent="0.2">
      <c r="A82" s="115" t="s">
        <v>3</v>
      </c>
      <c r="B82" s="116"/>
      <c r="C82" s="116"/>
      <c r="D82" s="117"/>
      <c r="E82" s="118">
        <f>SUM(E71:E81)</f>
        <v>2041.8160000000003</v>
      </c>
    </row>
    <row r="83" spans="1:7" x14ac:dyDescent="0.2">
      <c r="A83" s="16" t="s">
        <v>4</v>
      </c>
      <c r="B83" s="17" t="s">
        <v>2</v>
      </c>
      <c r="C83" s="140">
        <f>'2.Encargos Sociais'!$C$37*100</f>
        <v>72.231660000000005</v>
      </c>
      <c r="D83" s="18">
        <f>E82</f>
        <v>2041.8160000000003</v>
      </c>
      <c r="E83" s="18">
        <f>D83*C83/100</f>
        <v>1474.8375909456001</v>
      </c>
    </row>
    <row r="84" spans="1:7" x14ac:dyDescent="0.2">
      <c r="A84" s="115" t="s">
        <v>68</v>
      </c>
      <c r="B84" s="116"/>
      <c r="C84" s="116"/>
      <c r="D84" s="117"/>
      <c r="E84" s="118">
        <f>E82+E83</f>
        <v>3516.6535909456006</v>
      </c>
    </row>
    <row r="85" spans="1:7" ht="13.5" thickBot="1" x14ac:dyDescent="0.25">
      <c r="A85" s="16" t="s">
        <v>5</v>
      </c>
      <c r="B85" s="17" t="s">
        <v>6</v>
      </c>
      <c r="C85" s="86"/>
      <c r="D85" s="18">
        <f>E84</f>
        <v>3516.6535909456006</v>
      </c>
      <c r="E85" s="18">
        <f>C85*D85</f>
        <v>0</v>
      </c>
    </row>
    <row r="86" spans="1:7" ht="13.5" thickBot="1" x14ac:dyDescent="0.25">
      <c r="D86" s="122" t="s">
        <v>189</v>
      </c>
      <c r="E86" s="50">
        <f>$B$52</f>
        <v>1</v>
      </c>
      <c r="F86" s="123">
        <f>E85*E86</f>
        <v>0</v>
      </c>
    </row>
    <row r="87" spans="1:7" ht="11.25" customHeight="1" x14ac:dyDescent="0.2"/>
    <row r="88" spans="1:7" ht="13.5" thickBot="1" x14ac:dyDescent="0.25">
      <c r="A88" s="7" t="s">
        <v>296</v>
      </c>
    </row>
    <row r="89" spans="1:7" s="12" customFormat="1" ht="13.15" customHeight="1" thickBot="1" x14ac:dyDescent="0.25">
      <c r="A89" s="60" t="s">
        <v>59</v>
      </c>
      <c r="B89" s="61" t="s">
        <v>60</v>
      </c>
      <c r="C89" s="61" t="s">
        <v>36</v>
      </c>
      <c r="D89" s="62" t="s">
        <v>233</v>
      </c>
      <c r="E89" s="62" t="s">
        <v>61</v>
      </c>
      <c r="F89" s="63" t="s">
        <v>62</v>
      </c>
      <c r="G89" s="10"/>
    </row>
    <row r="90" spans="1:7" x14ac:dyDescent="0.2">
      <c r="A90" s="307" t="s">
        <v>287</v>
      </c>
      <c r="B90" s="14" t="s">
        <v>8</v>
      </c>
      <c r="C90" s="14">
        <v>1</v>
      </c>
      <c r="D90" s="323">
        <v>2124.64</v>
      </c>
      <c r="E90" s="15">
        <f>C90*D90</f>
        <v>2124.64</v>
      </c>
    </row>
    <row r="91" spans="1:7" x14ac:dyDescent="0.2">
      <c r="A91" s="307" t="s">
        <v>288</v>
      </c>
      <c r="B91" s="14" t="s">
        <v>8</v>
      </c>
      <c r="C91" s="14">
        <v>1</v>
      </c>
      <c r="D91" s="87">
        <v>2124.64</v>
      </c>
      <c r="E91" s="15"/>
    </row>
    <row r="92" spans="1:7" x14ac:dyDescent="0.2">
      <c r="A92" s="16" t="s">
        <v>30</v>
      </c>
      <c r="B92" s="17" t="s">
        <v>0</v>
      </c>
      <c r="C92" s="88">
        <v>6.72</v>
      </c>
      <c r="D92" s="18">
        <f>D90/220*2</f>
        <v>19.31490909090909</v>
      </c>
      <c r="E92" s="18">
        <f>C92*D92</f>
        <v>129.79618909090908</v>
      </c>
    </row>
    <row r="93" spans="1:7" x14ac:dyDescent="0.2">
      <c r="A93" s="16" t="s">
        <v>31</v>
      </c>
      <c r="B93" s="17" t="s">
        <v>0</v>
      </c>
      <c r="C93" s="88"/>
      <c r="D93" s="18">
        <f>D90/220*1.5</f>
        <v>14.486181818181818</v>
      </c>
      <c r="E93" s="18">
        <f>C93*D93</f>
        <v>0</v>
      </c>
    </row>
    <row r="94" spans="1:7" ht="13.15" customHeight="1" x14ac:dyDescent="0.2">
      <c r="A94" s="16" t="s">
        <v>214</v>
      </c>
      <c r="B94" s="17" t="s">
        <v>29</v>
      </c>
      <c r="D94" s="18">
        <f>63/302*(SUM(E92:E93))</f>
        <v>27.076688452739312</v>
      </c>
      <c r="E94" s="18">
        <f>D94</f>
        <v>27.076688452739312</v>
      </c>
    </row>
    <row r="95" spans="1:7" x14ac:dyDescent="0.2">
      <c r="A95" s="16" t="s">
        <v>212</v>
      </c>
      <c r="B95" s="17"/>
      <c r="C95" s="90">
        <v>1</v>
      </c>
      <c r="D95" s="18"/>
      <c r="E95" s="18"/>
    </row>
    <row r="96" spans="1:7" x14ac:dyDescent="0.2">
      <c r="A96" s="16" t="s">
        <v>1</v>
      </c>
      <c r="B96" s="17" t="s">
        <v>2</v>
      </c>
      <c r="C96" s="86">
        <v>40</v>
      </c>
      <c r="D96" s="83">
        <f>IF(C95=2,SUM(E90:E94),IF(C95=1,(SUM(E90:E94))*D91/D90,0))</f>
        <v>2281.5128775436483</v>
      </c>
      <c r="E96" s="18">
        <f>C96*D96/100</f>
        <v>912.60515101745932</v>
      </c>
    </row>
    <row r="97" spans="1:7" s="11" customFormat="1" x14ac:dyDescent="0.2">
      <c r="A97" s="103" t="s">
        <v>3</v>
      </c>
      <c r="B97" s="116"/>
      <c r="C97" s="116"/>
      <c r="D97" s="117"/>
      <c r="E97" s="105">
        <f>SUM(E90:E96)</f>
        <v>3194.1180285611076</v>
      </c>
      <c r="F97" s="44"/>
      <c r="G97" s="44"/>
    </row>
    <row r="98" spans="1:7" x14ac:dyDescent="0.2">
      <c r="A98" s="16" t="s">
        <v>4</v>
      </c>
      <c r="B98" s="17" t="s">
        <v>2</v>
      </c>
      <c r="C98" s="140">
        <f>'2.Encargos Sociais'!$C$37*100</f>
        <v>72.231660000000005</v>
      </c>
      <c r="D98" s="18">
        <f>E97</f>
        <v>3194.1180285611076</v>
      </c>
      <c r="E98" s="18">
        <f>D98*C98/100</f>
        <v>2307.1644743889624</v>
      </c>
    </row>
    <row r="99" spans="1:7" s="11" customFormat="1" x14ac:dyDescent="0.2">
      <c r="A99" s="103" t="s">
        <v>313</v>
      </c>
      <c r="B99" s="266"/>
      <c r="C99" s="266"/>
      <c r="D99" s="267"/>
      <c r="E99" s="105">
        <f>E97+E98</f>
        <v>5501.28250295007</v>
      </c>
      <c r="F99" s="44"/>
      <c r="G99" s="44"/>
    </row>
    <row r="100" spans="1:7" ht="13.5" thickBot="1" x14ac:dyDescent="0.25">
      <c r="A100" s="16" t="s">
        <v>5</v>
      </c>
      <c r="B100" s="17" t="s">
        <v>6</v>
      </c>
      <c r="C100" s="86">
        <v>1</v>
      </c>
      <c r="D100" s="18">
        <f>E99</f>
        <v>5501.28250295007</v>
      </c>
      <c r="E100" s="18">
        <f>C100*D100</f>
        <v>5501.28250295007</v>
      </c>
    </row>
    <row r="101" spans="1:7" ht="13.5" thickBot="1" x14ac:dyDescent="0.25">
      <c r="D101" s="122" t="s">
        <v>189</v>
      </c>
      <c r="E101" s="50">
        <f>$B$52</f>
        <v>1</v>
      </c>
      <c r="F101" s="123">
        <f>E100*E101</f>
        <v>5501.28250295007</v>
      </c>
    </row>
    <row r="102" spans="1:7" ht="11.25" customHeight="1" x14ac:dyDescent="0.2"/>
    <row r="103" spans="1:7" ht="13.5" thickBot="1" x14ac:dyDescent="0.25">
      <c r="A103" s="9" t="s">
        <v>95</v>
      </c>
    </row>
    <row r="104" spans="1:7" ht="13.5" thickBot="1" x14ac:dyDescent="0.25">
      <c r="A104" s="60" t="s">
        <v>59</v>
      </c>
      <c r="B104" s="61" t="s">
        <v>60</v>
      </c>
      <c r="C104" s="61" t="s">
        <v>36</v>
      </c>
      <c r="D104" s="62" t="s">
        <v>233</v>
      </c>
      <c r="E104" s="62" t="s">
        <v>61</v>
      </c>
      <c r="F104" s="63" t="s">
        <v>62</v>
      </c>
    </row>
    <row r="105" spans="1:7" x14ac:dyDescent="0.2">
      <c r="A105" s="307" t="s">
        <v>287</v>
      </c>
      <c r="B105" s="14" t="s">
        <v>8</v>
      </c>
      <c r="C105" s="14">
        <v>1</v>
      </c>
      <c r="D105" s="15">
        <f>D90</f>
        <v>2124.64</v>
      </c>
      <c r="E105" s="15">
        <f>C105*D105</f>
        <v>2124.64</v>
      </c>
    </row>
    <row r="106" spans="1:7" x14ac:dyDescent="0.2">
      <c r="A106" s="307" t="s">
        <v>288</v>
      </c>
      <c r="B106" s="14" t="s">
        <v>8</v>
      </c>
      <c r="C106" s="14">
        <v>1</v>
      </c>
      <c r="D106" s="18">
        <f>D91</f>
        <v>2124.64</v>
      </c>
      <c r="E106" s="18"/>
    </row>
    <row r="107" spans="1:7" x14ac:dyDescent="0.2">
      <c r="A107" s="16" t="s">
        <v>7</v>
      </c>
      <c r="B107" s="17" t="s">
        <v>93</v>
      </c>
      <c r="C107" s="88"/>
      <c r="D107" s="16"/>
      <c r="E107" s="16"/>
    </row>
    <row r="108" spans="1:7" x14ac:dyDescent="0.2">
      <c r="A108" s="16"/>
      <c r="B108" s="17" t="s">
        <v>96</v>
      </c>
      <c r="C108" s="18">
        <f>C107*8/7</f>
        <v>0</v>
      </c>
      <c r="D108" s="18">
        <f>D105/220*0.2</f>
        <v>1.9314909090909091</v>
      </c>
      <c r="E108" s="18">
        <f>C107*D108</f>
        <v>0</v>
      </c>
    </row>
    <row r="109" spans="1:7" x14ac:dyDescent="0.2">
      <c r="A109" s="16" t="s">
        <v>30</v>
      </c>
      <c r="B109" s="17" t="s">
        <v>0</v>
      </c>
      <c r="C109" s="88"/>
      <c r="D109" s="18">
        <f>D105/220*2</f>
        <v>19.31490909090909</v>
      </c>
      <c r="E109" s="18">
        <f>C109*D109</f>
        <v>0</v>
      </c>
    </row>
    <row r="110" spans="1:7" x14ac:dyDescent="0.2">
      <c r="A110" s="16" t="s">
        <v>94</v>
      </c>
      <c r="B110" s="17" t="s">
        <v>93</v>
      </c>
      <c r="C110" s="88"/>
      <c r="D110" s="18"/>
      <c r="E110" s="18"/>
    </row>
    <row r="111" spans="1:7" x14ac:dyDescent="0.2">
      <c r="A111" s="16"/>
      <c r="B111" s="17" t="s">
        <v>96</v>
      </c>
      <c r="C111" s="18">
        <f>C110*8/7</f>
        <v>0</v>
      </c>
      <c r="D111" s="18">
        <f>D105/220*2*1.2</f>
        <v>23.177890909090909</v>
      </c>
      <c r="E111" s="18">
        <f>C111*D111</f>
        <v>0</v>
      </c>
    </row>
    <row r="112" spans="1:7" x14ac:dyDescent="0.2">
      <c r="A112" s="16" t="s">
        <v>31</v>
      </c>
      <c r="B112" s="17" t="s">
        <v>0</v>
      </c>
      <c r="C112" s="88"/>
      <c r="D112" s="18">
        <f>D105/220*1.5</f>
        <v>14.486181818181818</v>
      </c>
      <c r="E112" s="18">
        <f>C112*D112</f>
        <v>0</v>
      </c>
    </row>
    <row r="113" spans="1:7" x14ac:dyDescent="0.2">
      <c r="A113" s="16" t="s">
        <v>213</v>
      </c>
      <c r="B113" s="17" t="s">
        <v>93</v>
      </c>
      <c r="C113" s="88"/>
      <c r="D113" s="18"/>
      <c r="E113" s="18"/>
    </row>
    <row r="114" spans="1:7" x14ac:dyDescent="0.2">
      <c r="A114" s="16"/>
      <c r="B114" s="17" t="s">
        <v>96</v>
      </c>
      <c r="C114" s="18">
        <f>C113*8/7</f>
        <v>0</v>
      </c>
      <c r="D114" s="18">
        <f>D105/220*1.5*1.2</f>
        <v>17.383418181818179</v>
      </c>
      <c r="E114" s="18">
        <f>C114*D114</f>
        <v>0</v>
      </c>
    </row>
    <row r="115" spans="1:7" ht="13.15" customHeight="1" x14ac:dyDescent="0.2">
      <c r="A115" s="16" t="s">
        <v>214</v>
      </c>
      <c r="B115" s="17" t="s">
        <v>29</v>
      </c>
      <c r="D115" s="18">
        <f>63/302*(SUM(E109:E114))</f>
        <v>0</v>
      </c>
      <c r="E115" s="18">
        <f>D115</f>
        <v>0</v>
      </c>
    </row>
    <row r="116" spans="1:7" x14ac:dyDescent="0.2">
      <c r="A116" s="16" t="s">
        <v>212</v>
      </c>
      <c r="B116" s="17"/>
      <c r="C116" s="90"/>
      <c r="D116" s="18"/>
      <c r="E116" s="18"/>
    </row>
    <row r="117" spans="1:7" x14ac:dyDescent="0.2">
      <c r="A117" s="16" t="s">
        <v>1</v>
      </c>
      <c r="B117" s="17" t="s">
        <v>2</v>
      </c>
      <c r="C117" s="83">
        <f>+C96</f>
        <v>40</v>
      </c>
      <c r="D117" s="83">
        <f>IF(C116=2,SUM(E105:E115),IF(C116=1,SUM(E105:E115)*D106/D105,0))</f>
        <v>0</v>
      </c>
      <c r="E117" s="18">
        <f>C117*D117/100</f>
        <v>0</v>
      </c>
    </row>
    <row r="118" spans="1:7" s="11" customFormat="1" x14ac:dyDescent="0.2">
      <c r="A118" s="115" t="s">
        <v>3</v>
      </c>
      <c r="B118" s="116"/>
      <c r="C118" s="116"/>
      <c r="D118" s="117"/>
      <c r="E118" s="118">
        <f>SUM(E105:E117)</f>
        <v>2124.64</v>
      </c>
      <c r="F118" s="44"/>
      <c r="G118" s="44"/>
    </row>
    <row r="119" spans="1:7" x14ac:dyDescent="0.2">
      <c r="A119" s="16" t="s">
        <v>4</v>
      </c>
      <c r="B119" s="17" t="s">
        <v>2</v>
      </c>
      <c r="C119" s="140">
        <f>'2.Encargos Sociais'!$C$37*100</f>
        <v>72.231660000000005</v>
      </c>
      <c r="D119" s="18">
        <f>E118</f>
        <v>2124.64</v>
      </c>
      <c r="E119" s="18">
        <f>D119*C119/100</f>
        <v>1534.6627410240001</v>
      </c>
    </row>
    <row r="120" spans="1:7" s="11" customFormat="1" x14ac:dyDescent="0.2">
      <c r="A120" s="115" t="s">
        <v>247</v>
      </c>
      <c r="B120" s="116"/>
      <c r="C120" s="116"/>
      <c r="D120" s="117"/>
      <c r="E120" s="118">
        <f>E118+E119</f>
        <v>3659.3027410240002</v>
      </c>
      <c r="F120" s="44"/>
      <c r="G120" s="44"/>
    </row>
    <row r="121" spans="1:7" ht="13.5" thickBot="1" x14ac:dyDescent="0.25">
      <c r="A121" s="16" t="s">
        <v>5</v>
      </c>
      <c r="B121" s="17" t="s">
        <v>6</v>
      </c>
      <c r="C121" s="86"/>
      <c r="D121" s="18">
        <f>E120</f>
        <v>3659.3027410240002</v>
      </c>
      <c r="E121" s="18">
        <f>C121*D121</f>
        <v>0</v>
      </c>
    </row>
    <row r="122" spans="1:7" ht="13.5" thickBot="1" x14ac:dyDescent="0.25">
      <c r="D122" s="122" t="s">
        <v>189</v>
      </c>
      <c r="E122" s="50">
        <f>$B$52</f>
        <v>1</v>
      </c>
      <c r="F122" s="123">
        <f>E121*E122</f>
        <v>0</v>
      </c>
    </row>
    <row r="123" spans="1:7" ht="11.25" customHeight="1" x14ac:dyDescent="0.2">
      <c r="G123" s="9"/>
    </row>
    <row r="124" spans="1:7" ht="13.5" thickBot="1" x14ac:dyDescent="0.25">
      <c r="A124" s="9" t="s">
        <v>97</v>
      </c>
      <c r="B124" s="93"/>
      <c r="D124" s="9"/>
      <c r="E124" s="9"/>
      <c r="G124" s="9"/>
    </row>
    <row r="125" spans="1:7" ht="13.5" thickBot="1" x14ac:dyDescent="0.25">
      <c r="A125" s="60" t="s">
        <v>59</v>
      </c>
      <c r="B125" s="61" t="s">
        <v>60</v>
      </c>
      <c r="C125" s="61" t="s">
        <v>36</v>
      </c>
      <c r="D125" s="62" t="s">
        <v>233</v>
      </c>
      <c r="E125" s="62" t="s">
        <v>61</v>
      </c>
      <c r="F125" s="63" t="s">
        <v>62</v>
      </c>
      <c r="G125" s="9"/>
    </row>
    <row r="126" spans="1:7" x14ac:dyDescent="0.2">
      <c r="A126" s="16" t="s">
        <v>87</v>
      </c>
      <c r="B126" s="17" t="s">
        <v>29</v>
      </c>
      <c r="C126" s="94">
        <v>1</v>
      </c>
      <c r="D126" s="92">
        <v>3.8</v>
      </c>
      <c r="E126" s="18"/>
      <c r="G126" s="9"/>
    </row>
    <row r="127" spans="1:7" x14ac:dyDescent="0.2">
      <c r="A127" s="16" t="s">
        <v>88</v>
      </c>
      <c r="B127" s="17" t="s">
        <v>89</v>
      </c>
      <c r="C127" s="91">
        <v>26</v>
      </c>
      <c r="D127" s="18"/>
      <c r="E127" s="18"/>
      <c r="G127" s="9"/>
    </row>
    <row r="128" spans="1:7" x14ac:dyDescent="0.2">
      <c r="A128" s="324" t="s">
        <v>316</v>
      </c>
      <c r="B128" s="17" t="s">
        <v>9</v>
      </c>
      <c r="C128" s="37">
        <v>104</v>
      </c>
      <c r="D128" s="15">
        <f>IFERROR((($C$127*2*$D$126)-(E58*0.06*C127/26))/($C$127*2),"-")</f>
        <v>2.1171846153846152</v>
      </c>
      <c r="E128" s="18">
        <f>IFERROR(C128*D128,"-")</f>
        <v>220.18719999999999</v>
      </c>
      <c r="G128" s="9"/>
    </row>
    <row r="129" spans="1:7" ht="13.5" thickBot="1" x14ac:dyDescent="0.25">
      <c r="A129" s="307" t="s">
        <v>317</v>
      </c>
      <c r="B129" s="14" t="s">
        <v>9</v>
      </c>
      <c r="C129" s="37">
        <v>104</v>
      </c>
      <c r="D129" s="15">
        <f>IFERROR((($C$127*2*$D$126)-(E90*0.06*C127/26))/($C$127*2),"-")</f>
        <v>1.3484923076923077</v>
      </c>
      <c r="E129" s="15">
        <f>IFERROR(C129*D129,"-")</f>
        <v>140.2432</v>
      </c>
      <c r="G129" s="9"/>
    </row>
    <row r="130" spans="1:7" ht="13.5" thickBot="1" x14ac:dyDescent="0.25">
      <c r="F130" s="22">
        <f>SUM(E128:E129)</f>
        <v>360.43039999999996</v>
      </c>
      <c r="G130" s="9"/>
    </row>
    <row r="131" spans="1:7" ht="11.25" customHeight="1" x14ac:dyDescent="0.2">
      <c r="G131" s="9"/>
    </row>
    <row r="132" spans="1:7" ht="13.5" thickBot="1" x14ac:dyDescent="0.25">
      <c r="A132" s="9" t="s">
        <v>117</v>
      </c>
      <c r="F132" s="23"/>
      <c r="G132" s="9"/>
    </row>
    <row r="133" spans="1:7" ht="13.5" thickBot="1" x14ac:dyDescent="0.25">
      <c r="A133" s="60" t="s">
        <v>59</v>
      </c>
      <c r="B133" s="61" t="s">
        <v>60</v>
      </c>
      <c r="C133" s="61" t="s">
        <v>36</v>
      </c>
      <c r="D133" s="62" t="s">
        <v>233</v>
      </c>
      <c r="E133" s="62" t="s">
        <v>61</v>
      </c>
      <c r="F133" s="63" t="s">
        <v>62</v>
      </c>
      <c r="G133" s="9"/>
    </row>
    <row r="134" spans="1:7" x14ac:dyDescent="0.2">
      <c r="A134" s="324" t="s">
        <v>316</v>
      </c>
      <c r="B134" s="17" t="s">
        <v>10</v>
      </c>
      <c r="C134" s="102">
        <f>C127*(E42+E43)</f>
        <v>26</v>
      </c>
      <c r="D134" s="95">
        <v>22</v>
      </c>
      <c r="E134" s="50">
        <f>C134*D134</f>
        <v>572</v>
      </c>
      <c r="F134" s="23"/>
      <c r="G134" s="9"/>
    </row>
    <row r="135" spans="1:7" ht="13.5" thickBot="1" x14ac:dyDescent="0.25">
      <c r="A135" s="16" t="str">
        <f>+A129</f>
        <v>OPERADOR</v>
      </c>
      <c r="B135" s="17" t="s">
        <v>10</v>
      </c>
      <c r="C135" s="102">
        <f>C127*(E44+E45)</f>
        <v>26</v>
      </c>
      <c r="D135" s="95">
        <v>22</v>
      </c>
      <c r="E135" s="50">
        <f>C135*D135</f>
        <v>572</v>
      </c>
      <c r="F135" s="23"/>
      <c r="G135" s="9"/>
    </row>
    <row r="136" spans="1:7" ht="13.5" thickBot="1" x14ac:dyDescent="0.25">
      <c r="F136" s="22">
        <f>SUM(E134:E135)</f>
        <v>1144</v>
      </c>
      <c r="G136" s="9"/>
    </row>
    <row r="137" spans="1:7" x14ac:dyDescent="0.2">
      <c r="G137" s="9"/>
    </row>
    <row r="138" spans="1:7" ht="13.5" thickBot="1" x14ac:dyDescent="0.25">
      <c r="A138" s="7" t="s">
        <v>319</v>
      </c>
      <c r="F138" s="23"/>
      <c r="G138" s="9"/>
    </row>
    <row r="139" spans="1:7" ht="13.5" thickBot="1" x14ac:dyDescent="0.25">
      <c r="A139" s="60" t="s">
        <v>59</v>
      </c>
      <c r="B139" s="61" t="s">
        <v>60</v>
      </c>
      <c r="C139" s="61" t="s">
        <v>36</v>
      </c>
      <c r="D139" s="62" t="s">
        <v>320</v>
      </c>
      <c r="E139" s="62" t="s">
        <v>61</v>
      </c>
      <c r="F139" s="63" t="s">
        <v>62</v>
      </c>
      <c r="G139" s="9"/>
    </row>
    <row r="140" spans="1:7" x14ac:dyDescent="0.2">
      <c r="A140" s="324" t="s">
        <v>321</v>
      </c>
      <c r="B140" s="17" t="s">
        <v>10</v>
      </c>
      <c r="C140" s="102">
        <v>12</v>
      </c>
      <c r="D140" s="95">
        <v>4000</v>
      </c>
      <c r="E140" s="50">
        <f>C140*D140</f>
        <v>48000</v>
      </c>
      <c r="F140" s="23"/>
      <c r="G140" s="9"/>
    </row>
    <row r="141" spans="1:7" ht="13.5" thickBot="1" x14ac:dyDescent="0.25">
      <c r="A141" s="16"/>
      <c r="B141" s="17"/>
      <c r="C141" s="102">
        <v>12</v>
      </c>
      <c r="D141" s="95"/>
      <c r="E141" s="50">
        <f>C141*D141</f>
        <v>0</v>
      </c>
      <c r="F141" s="23"/>
      <c r="G141" s="9"/>
    </row>
    <row r="142" spans="1:7" ht="13.5" thickBot="1" x14ac:dyDescent="0.25">
      <c r="D142" s="122" t="s">
        <v>189</v>
      </c>
      <c r="E142" s="50">
        <f>$B$52</f>
        <v>1</v>
      </c>
      <c r="F142" s="22">
        <f>QUOTIENT(E140,C141)</f>
        <v>4000</v>
      </c>
      <c r="G142" s="9"/>
    </row>
    <row r="143" spans="1:7" ht="13.5" thickBot="1" x14ac:dyDescent="0.25">
      <c r="G143" s="9"/>
    </row>
    <row r="144" spans="1:7" ht="13.5" thickBot="1" x14ac:dyDescent="0.25">
      <c r="A144" s="24" t="s">
        <v>90</v>
      </c>
      <c r="B144" s="25"/>
      <c r="C144" s="25"/>
      <c r="D144" s="26"/>
      <c r="E144" s="27"/>
      <c r="F144" s="22">
        <f>F142+F136+F130+F122+F101+F86+F67</f>
        <v>14782.018749400528</v>
      </c>
      <c r="G144" s="9"/>
    </row>
    <row r="146" spans="1:7" x14ac:dyDescent="0.2">
      <c r="A146" s="11" t="s">
        <v>40</v>
      </c>
      <c r="G146" s="9"/>
    </row>
    <row r="147" spans="1:7" ht="11.25" customHeight="1" x14ac:dyDescent="0.2">
      <c r="G147" s="9"/>
    </row>
    <row r="148" spans="1:7" ht="13.9" customHeight="1" x14ac:dyDescent="0.2">
      <c r="A148" s="9" t="s">
        <v>191</v>
      </c>
      <c r="G148" s="9"/>
    </row>
    <row r="149" spans="1:7" ht="11.25" customHeight="1" thickBot="1" x14ac:dyDescent="0.25">
      <c r="G149" s="9"/>
    </row>
    <row r="150" spans="1:7" ht="27.75" customHeight="1" thickBot="1" x14ac:dyDescent="0.25">
      <c r="A150" s="60" t="s">
        <v>59</v>
      </c>
      <c r="B150" s="61" t="s">
        <v>60</v>
      </c>
      <c r="C150" s="268" t="s">
        <v>249</v>
      </c>
      <c r="D150" s="62" t="s">
        <v>233</v>
      </c>
      <c r="E150" s="62" t="s">
        <v>61</v>
      </c>
      <c r="F150" s="63" t="s">
        <v>62</v>
      </c>
      <c r="G150" s="9"/>
    </row>
    <row r="151" spans="1:7" x14ac:dyDescent="0.2">
      <c r="A151" s="13" t="s">
        <v>63</v>
      </c>
      <c r="B151" s="14" t="s">
        <v>10</v>
      </c>
      <c r="C151" s="101">
        <v>3</v>
      </c>
      <c r="D151" s="87">
        <v>130</v>
      </c>
      <c r="E151" s="15">
        <f>IFERROR(D151/C151,0)</f>
        <v>43.333333333333336</v>
      </c>
      <c r="G151" s="9"/>
    </row>
    <row r="152" spans="1:7" ht="13.15" customHeight="1" x14ac:dyDescent="0.2">
      <c r="A152" s="16" t="s">
        <v>24</v>
      </c>
      <c r="B152" s="17" t="s">
        <v>10</v>
      </c>
      <c r="C152" s="101">
        <v>3</v>
      </c>
      <c r="D152" s="87">
        <v>50</v>
      </c>
      <c r="E152" s="15">
        <f t="shared" ref="E152:E160" si="2">IFERROR(D152/C152,0)</f>
        <v>16.666666666666668</v>
      </c>
      <c r="G152" s="9"/>
    </row>
    <row r="153" spans="1:7" x14ac:dyDescent="0.2">
      <c r="A153" s="16" t="s">
        <v>25</v>
      </c>
      <c r="B153" s="17" t="s">
        <v>10</v>
      </c>
      <c r="C153" s="101">
        <v>3</v>
      </c>
      <c r="D153" s="87">
        <v>30</v>
      </c>
      <c r="E153" s="15">
        <f t="shared" si="2"/>
        <v>10</v>
      </c>
      <c r="G153" s="9"/>
    </row>
    <row r="154" spans="1:7" ht="13.15" customHeight="1" x14ac:dyDescent="0.2">
      <c r="A154" s="16" t="s">
        <v>26</v>
      </c>
      <c r="B154" s="17" t="s">
        <v>10</v>
      </c>
      <c r="C154" s="101">
        <v>3</v>
      </c>
      <c r="D154" s="87">
        <v>15</v>
      </c>
      <c r="E154" s="15">
        <f t="shared" si="2"/>
        <v>5</v>
      </c>
      <c r="G154" s="9"/>
    </row>
    <row r="155" spans="1:7" ht="13.9" customHeight="1" x14ac:dyDescent="0.2">
      <c r="A155" s="16" t="s">
        <v>65</v>
      </c>
      <c r="B155" s="17" t="s">
        <v>43</v>
      </c>
      <c r="C155" s="101">
        <v>3</v>
      </c>
      <c r="D155" s="87">
        <v>56</v>
      </c>
      <c r="E155" s="15">
        <f t="shared" si="2"/>
        <v>18.666666666666668</v>
      </c>
      <c r="G155" s="9"/>
    </row>
    <row r="156" spans="1:7" ht="13.15" customHeight="1" x14ac:dyDescent="0.2">
      <c r="A156" s="16" t="s">
        <v>91</v>
      </c>
      <c r="B156" s="17" t="s">
        <v>43</v>
      </c>
      <c r="C156" s="101">
        <v>2</v>
      </c>
      <c r="D156" s="87">
        <v>10</v>
      </c>
      <c r="E156" s="15">
        <f t="shared" si="2"/>
        <v>5</v>
      </c>
    </row>
    <row r="157" spans="1:7" x14ac:dyDescent="0.2">
      <c r="A157" s="16" t="s">
        <v>64</v>
      </c>
      <c r="B157" s="17" t="s">
        <v>10</v>
      </c>
      <c r="C157" s="101">
        <v>12</v>
      </c>
      <c r="D157" s="87">
        <v>40</v>
      </c>
      <c r="E157" s="15">
        <f t="shared" si="2"/>
        <v>3.3333333333333335</v>
      </c>
    </row>
    <row r="158" spans="1:7" s="1" customFormat="1" x14ac:dyDescent="0.2">
      <c r="A158" s="2" t="s">
        <v>11</v>
      </c>
      <c r="B158" s="3" t="s">
        <v>10</v>
      </c>
      <c r="C158" s="101">
        <v>3</v>
      </c>
      <c r="D158" s="87">
        <v>30</v>
      </c>
      <c r="E158" s="15">
        <f t="shared" si="2"/>
        <v>10</v>
      </c>
      <c r="F158" s="38"/>
      <c r="G158" s="38"/>
    </row>
    <row r="159" spans="1:7" x14ac:dyDescent="0.2">
      <c r="A159" s="16" t="s">
        <v>27</v>
      </c>
      <c r="B159" s="17" t="s">
        <v>43</v>
      </c>
      <c r="C159" s="101">
        <v>1</v>
      </c>
      <c r="D159" s="87">
        <v>40</v>
      </c>
      <c r="E159" s="15">
        <f t="shared" si="2"/>
        <v>40</v>
      </c>
    </row>
    <row r="160" spans="1:7" ht="13.15" customHeight="1" x14ac:dyDescent="0.2">
      <c r="A160" s="16" t="s">
        <v>58</v>
      </c>
      <c r="B160" s="17" t="s">
        <v>44</v>
      </c>
      <c r="C160" s="101">
        <v>1</v>
      </c>
      <c r="D160" s="87">
        <v>20</v>
      </c>
      <c r="E160" s="15">
        <f t="shared" si="2"/>
        <v>20</v>
      </c>
    </row>
    <row r="161" spans="1:7" x14ac:dyDescent="0.2">
      <c r="A161" s="16" t="s">
        <v>192</v>
      </c>
      <c r="B161" s="17" t="s">
        <v>118</v>
      </c>
      <c r="C161" s="120">
        <v>1</v>
      </c>
      <c r="D161" s="87">
        <v>25</v>
      </c>
      <c r="E161" s="18">
        <f>C161*D161</f>
        <v>25</v>
      </c>
    </row>
    <row r="162" spans="1:7" ht="13.5" thickBot="1" x14ac:dyDescent="0.25">
      <c r="A162" s="16" t="s">
        <v>5</v>
      </c>
      <c r="B162" s="17" t="s">
        <v>6</v>
      </c>
      <c r="C162" s="69">
        <f>E42+E43</f>
        <v>1</v>
      </c>
      <c r="D162" s="18">
        <f>+SUM(E151:E161)</f>
        <v>197</v>
      </c>
      <c r="E162" s="18">
        <f>C162*D162</f>
        <v>197</v>
      </c>
    </row>
    <row r="163" spans="1:7" ht="13.5" thickBot="1" x14ac:dyDescent="0.25">
      <c r="D163" s="122" t="s">
        <v>189</v>
      </c>
      <c r="E163" s="50">
        <f>$B$52</f>
        <v>1</v>
      </c>
      <c r="F163" s="123">
        <f>E162*E163</f>
        <v>197</v>
      </c>
    </row>
    <row r="164" spans="1:7" ht="11.25" customHeight="1" x14ac:dyDescent="0.2"/>
    <row r="165" spans="1:7" ht="13.9" customHeight="1" x14ac:dyDescent="0.2">
      <c r="A165" s="9" t="s">
        <v>193</v>
      </c>
    </row>
    <row r="166" spans="1:7" ht="11.25" customHeight="1" thickBot="1" x14ac:dyDescent="0.25"/>
    <row r="167" spans="1:7" ht="24.75" thickBot="1" x14ac:dyDescent="0.25">
      <c r="A167" s="60" t="s">
        <v>59</v>
      </c>
      <c r="B167" s="61" t="s">
        <v>60</v>
      </c>
      <c r="C167" s="268" t="s">
        <v>249</v>
      </c>
      <c r="D167" s="62" t="s">
        <v>233</v>
      </c>
      <c r="E167" s="62" t="s">
        <v>61</v>
      </c>
      <c r="F167" s="63" t="s">
        <v>62</v>
      </c>
    </row>
    <row r="168" spans="1:7" x14ac:dyDescent="0.2">
      <c r="A168" s="13" t="s">
        <v>63</v>
      </c>
      <c r="B168" s="14" t="s">
        <v>10</v>
      </c>
      <c r="C168" s="101">
        <v>12</v>
      </c>
      <c r="D168" s="15">
        <f>+D151</f>
        <v>130</v>
      </c>
      <c r="E168" s="15">
        <f t="shared" ref="E168:E173" si="3">IFERROR(D168/C168,0)</f>
        <v>10.833333333333334</v>
      </c>
    </row>
    <row r="169" spans="1:7" x14ac:dyDescent="0.2">
      <c r="A169" s="16" t="s">
        <v>24</v>
      </c>
      <c r="B169" s="17" t="s">
        <v>10</v>
      </c>
      <c r="C169" s="101">
        <v>3</v>
      </c>
      <c r="D169" s="18">
        <f>+D152</f>
        <v>50</v>
      </c>
      <c r="E169" s="15">
        <f t="shared" si="3"/>
        <v>16.666666666666668</v>
      </c>
    </row>
    <row r="170" spans="1:7" x14ac:dyDescent="0.2">
      <c r="A170" s="16" t="s">
        <v>25</v>
      </c>
      <c r="B170" s="17" t="s">
        <v>10</v>
      </c>
      <c r="C170" s="101">
        <v>3</v>
      </c>
      <c r="D170" s="18">
        <f>+D153</f>
        <v>30</v>
      </c>
      <c r="E170" s="15">
        <f t="shared" si="3"/>
        <v>10</v>
      </c>
    </row>
    <row r="171" spans="1:7" x14ac:dyDescent="0.2">
      <c r="A171" s="16" t="s">
        <v>65</v>
      </c>
      <c r="B171" s="17" t="s">
        <v>43</v>
      </c>
      <c r="C171" s="101">
        <v>12</v>
      </c>
      <c r="D171" s="18">
        <f>+D155</f>
        <v>56</v>
      </c>
      <c r="E171" s="15">
        <f t="shared" si="3"/>
        <v>4.666666666666667</v>
      </c>
    </row>
    <row r="172" spans="1:7" x14ac:dyDescent="0.2">
      <c r="A172" s="16" t="s">
        <v>64</v>
      </c>
      <c r="B172" s="17" t="s">
        <v>10</v>
      </c>
      <c r="C172" s="101">
        <v>12</v>
      </c>
      <c r="D172" s="18">
        <f>+D157</f>
        <v>40</v>
      </c>
      <c r="E172" s="15">
        <f t="shared" si="3"/>
        <v>3.3333333333333335</v>
      </c>
      <c r="G172" s="9"/>
    </row>
    <row r="173" spans="1:7" x14ac:dyDescent="0.2">
      <c r="A173" s="16" t="s">
        <v>58</v>
      </c>
      <c r="B173" s="17" t="s">
        <v>44</v>
      </c>
      <c r="C173" s="101">
        <v>1</v>
      </c>
      <c r="D173" s="18">
        <f>+D160</f>
        <v>20</v>
      </c>
      <c r="E173" s="15">
        <f t="shared" si="3"/>
        <v>20</v>
      </c>
      <c r="G173" s="9"/>
    </row>
    <row r="174" spans="1:7" x14ac:dyDescent="0.2">
      <c r="A174" s="16" t="s">
        <v>192</v>
      </c>
      <c r="B174" s="17" t="s">
        <v>118</v>
      </c>
      <c r="C174" s="120">
        <v>1</v>
      </c>
      <c r="D174" s="87">
        <v>20</v>
      </c>
      <c r="E174" s="18">
        <f>C174*D174</f>
        <v>20</v>
      </c>
      <c r="G174" s="9"/>
    </row>
    <row r="175" spans="1:7" ht="13.5" thickBot="1" x14ac:dyDescent="0.25">
      <c r="A175" s="16" t="s">
        <v>5</v>
      </c>
      <c r="B175" s="17" t="s">
        <v>6</v>
      </c>
      <c r="C175" s="69">
        <v>2</v>
      </c>
      <c r="D175" s="18">
        <f>+SUM(E168:E174)</f>
        <v>85.5</v>
      </c>
      <c r="E175" s="18">
        <f>C175*D175</f>
        <v>171</v>
      </c>
      <c r="G175" s="9"/>
    </row>
    <row r="176" spans="1:7" ht="13.5" thickBot="1" x14ac:dyDescent="0.25">
      <c r="D176" s="122" t="s">
        <v>189</v>
      </c>
      <c r="E176" s="50">
        <f>$B$52</f>
        <v>1</v>
      </c>
      <c r="F176" s="123">
        <f>E175*E176</f>
        <v>171</v>
      </c>
      <c r="G176" s="9"/>
    </row>
    <row r="177" spans="1:10" ht="11.25" customHeight="1" thickBot="1" x14ac:dyDescent="0.25">
      <c r="G177" s="9"/>
    </row>
    <row r="178" spans="1:10" ht="13.5" thickBot="1" x14ac:dyDescent="0.25">
      <c r="A178" s="24" t="s">
        <v>194</v>
      </c>
      <c r="B178" s="28"/>
      <c r="C178" s="28"/>
      <c r="D178" s="29"/>
      <c r="E178" s="30"/>
      <c r="F178" s="21">
        <f>+F163+F176</f>
        <v>368</v>
      </c>
      <c r="G178" s="9"/>
    </row>
    <row r="179" spans="1:10" ht="11.25" customHeight="1" x14ac:dyDescent="0.2">
      <c r="G179" s="9"/>
    </row>
    <row r="180" spans="1:10" x14ac:dyDescent="0.2">
      <c r="A180" s="11" t="s">
        <v>49</v>
      </c>
      <c r="G180" s="9"/>
    </row>
    <row r="181" spans="1:10" ht="11.25" customHeight="1" x14ac:dyDescent="0.2">
      <c r="B181" s="106"/>
      <c r="G181" s="9"/>
    </row>
    <row r="182" spans="1:10" x14ac:dyDescent="0.2">
      <c r="A182" s="7" t="s">
        <v>297</v>
      </c>
      <c r="G182" s="9"/>
    </row>
    <row r="183" spans="1:10" ht="11.25" customHeight="1" x14ac:dyDescent="0.2">
      <c r="G183" s="9"/>
    </row>
    <row r="184" spans="1:10" ht="13.5" thickBot="1" x14ac:dyDescent="0.25">
      <c r="A184" s="106" t="s">
        <v>41</v>
      </c>
      <c r="B184" s="7"/>
      <c r="G184" s="9"/>
    </row>
    <row r="185" spans="1:10" ht="13.5" thickBot="1" x14ac:dyDescent="0.25">
      <c r="A185" s="60" t="s">
        <v>59</v>
      </c>
      <c r="B185" s="61" t="s">
        <v>60</v>
      </c>
      <c r="C185" s="61" t="s">
        <v>36</v>
      </c>
      <c r="D185" s="62" t="s">
        <v>233</v>
      </c>
      <c r="E185" s="62" t="s">
        <v>61</v>
      </c>
      <c r="F185" s="63" t="s">
        <v>62</v>
      </c>
      <c r="G185" s="9"/>
    </row>
    <row r="186" spans="1:10" x14ac:dyDescent="0.2">
      <c r="A186" s="13" t="s">
        <v>104</v>
      </c>
      <c r="B186" s="14" t="s">
        <v>10</v>
      </c>
      <c r="C186" s="274">
        <v>1</v>
      </c>
      <c r="D186" s="87">
        <v>399000</v>
      </c>
      <c r="E186" s="15">
        <f>C186*D186</f>
        <v>399000</v>
      </c>
      <c r="G186" s="9"/>
    </row>
    <row r="187" spans="1:10" x14ac:dyDescent="0.2">
      <c r="A187" s="16" t="s">
        <v>98</v>
      </c>
      <c r="B187" s="17" t="s">
        <v>99</v>
      </c>
      <c r="C187" s="86">
        <v>10</v>
      </c>
      <c r="D187" s="83"/>
      <c r="E187" s="18"/>
      <c r="G187" s="9"/>
    </row>
    <row r="188" spans="1:10" x14ac:dyDescent="0.2">
      <c r="A188" s="16" t="s">
        <v>206</v>
      </c>
      <c r="B188" s="17" t="s">
        <v>99</v>
      </c>
      <c r="C188" s="86">
        <v>0</v>
      </c>
      <c r="D188" s="18"/>
      <c r="E188" s="18"/>
      <c r="F188" s="20"/>
      <c r="I188" s="85"/>
      <c r="J188" s="85"/>
    </row>
    <row r="189" spans="1:10" x14ac:dyDescent="0.2">
      <c r="A189" s="16" t="s">
        <v>102</v>
      </c>
      <c r="B189" s="17" t="s">
        <v>2</v>
      </c>
      <c r="C189" s="140">
        <v>65.180000000000007</v>
      </c>
      <c r="D189" s="18">
        <f>E186</f>
        <v>399000</v>
      </c>
      <c r="E189" s="18">
        <f>C189*D189/100</f>
        <v>260068.20000000004</v>
      </c>
    </row>
    <row r="190" spans="1:10" ht="13.5" thickBot="1" x14ac:dyDescent="0.25">
      <c r="A190" s="277" t="s">
        <v>45</v>
      </c>
      <c r="B190" s="278" t="s">
        <v>8</v>
      </c>
      <c r="C190" s="278">
        <f>C187*12</f>
        <v>120</v>
      </c>
      <c r="D190" s="279">
        <f>IF(C188&lt;=C187,E189,0)</f>
        <v>260068.20000000004</v>
      </c>
      <c r="E190" s="279">
        <f>IFERROR(D190/C190,0)</f>
        <v>2167.2350000000001</v>
      </c>
    </row>
    <row r="191" spans="1:10" ht="13.5" thickTop="1" x14ac:dyDescent="0.2">
      <c r="A191" s="13" t="s">
        <v>103</v>
      </c>
      <c r="B191" s="14" t="s">
        <v>10</v>
      </c>
      <c r="C191" s="14">
        <f>C186</f>
        <v>1</v>
      </c>
      <c r="D191" s="87"/>
      <c r="E191" s="15">
        <f>C191*D191</f>
        <v>0</v>
      </c>
      <c r="G191" s="9"/>
    </row>
    <row r="192" spans="1:10" x14ac:dyDescent="0.2">
      <c r="A192" s="16" t="s">
        <v>100</v>
      </c>
      <c r="B192" s="17" t="s">
        <v>99</v>
      </c>
      <c r="C192" s="86"/>
      <c r="D192" s="18"/>
      <c r="E192" s="18"/>
    </row>
    <row r="193" spans="1:10" x14ac:dyDescent="0.2">
      <c r="A193" s="16" t="s">
        <v>207</v>
      </c>
      <c r="B193" s="17" t="s">
        <v>99</v>
      </c>
      <c r="C193" s="86">
        <v>0</v>
      </c>
      <c r="D193" s="18"/>
      <c r="E193" s="18"/>
      <c r="F193" s="20"/>
      <c r="I193" s="85"/>
      <c r="J193" s="85"/>
    </row>
    <row r="194" spans="1:10" x14ac:dyDescent="0.2">
      <c r="A194" s="16" t="s">
        <v>101</v>
      </c>
      <c r="B194" s="17" t="s">
        <v>2</v>
      </c>
      <c r="C194" s="141">
        <f>IFERROR(VLOOKUP(C192,'5. Depreciação'!A3:B17,2,FALSE),0)</f>
        <v>0</v>
      </c>
      <c r="D194" s="18">
        <f>E191</f>
        <v>0</v>
      </c>
      <c r="E194" s="18">
        <f>C194*D194/100</f>
        <v>0</v>
      </c>
    </row>
    <row r="195" spans="1:10" x14ac:dyDescent="0.2">
      <c r="A195" s="103" t="s">
        <v>105</v>
      </c>
      <c r="B195" s="104" t="s">
        <v>8</v>
      </c>
      <c r="C195" s="104">
        <f>C192*12</f>
        <v>0</v>
      </c>
      <c r="D195" s="105">
        <f>IF(C193&lt;=C192,E194,0)</f>
        <v>0</v>
      </c>
      <c r="E195" s="105">
        <f>IFERROR(D195/C195,0)</f>
        <v>0</v>
      </c>
    </row>
    <row r="196" spans="1:10" x14ac:dyDescent="0.2">
      <c r="A196" s="115" t="s">
        <v>252</v>
      </c>
      <c r="B196" s="116"/>
      <c r="C196" s="116"/>
      <c r="D196" s="117"/>
      <c r="E196" s="118">
        <f>E190+E195</f>
        <v>2167.2350000000001</v>
      </c>
    </row>
    <row r="197" spans="1:10" ht="13.5" thickBot="1" x14ac:dyDescent="0.25">
      <c r="A197" s="103" t="s">
        <v>253</v>
      </c>
      <c r="B197" s="104" t="s">
        <v>10</v>
      </c>
      <c r="C197" s="86">
        <v>1</v>
      </c>
      <c r="D197" s="105">
        <f>E196</f>
        <v>2167.2350000000001</v>
      </c>
      <c r="E197" s="118">
        <f>C197*D197</f>
        <v>2167.2350000000001</v>
      </c>
    </row>
    <row r="198" spans="1:10" ht="13.5" thickBot="1" x14ac:dyDescent="0.25">
      <c r="A198" s="273"/>
      <c r="B198" s="273"/>
      <c r="C198" s="273"/>
      <c r="D198" s="122" t="s">
        <v>189</v>
      </c>
      <c r="E198" s="50">
        <f>$B$52</f>
        <v>1</v>
      </c>
      <c r="F198" s="21">
        <f>E197*E198</f>
        <v>2167.2350000000001</v>
      </c>
    </row>
    <row r="199" spans="1:10" ht="11.25" customHeight="1" x14ac:dyDescent="0.2"/>
    <row r="200" spans="1:10" ht="13.5" thickBot="1" x14ac:dyDescent="0.25">
      <c r="A200" s="106" t="s">
        <v>110</v>
      </c>
    </row>
    <row r="201" spans="1:10" ht="13.5" thickBot="1" x14ac:dyDescent="0.25">
      <c r="A201" s="108" t="s">
        <v>59</v>
      </c>
      <c r="B201" s="109" t="s">
        <v>60</v>
      </c>
      <c r="C201" s="109" t="s">
        <v>36</v>
      </c>
      <c r="D201" s="62" t="s">
        <v>233</v>
      </c>
      <c r="E201" s="110" t="s">
        <v>61</v>
      </c>
      <c r="F201" s="63" t="s">
        <v>62</v>
      </c>
      <c r="I201" s="85"/>
      <c r="J201" s="85"/>
    </row>
    <row r="202" spans="1:10" x14ac:dyDescent="0.2">
      <c r="A202" s="16" t="s">
        <v>108</v>
      </c>
      <c r="B202" s="17" t="s">
        <v>10</v>
      </c>
      <c r="C202" s="274">
        <v>1</v>
      </c>
      <c r="D202" s="18">
        <v>399000</v>
      </c>
      <c r="E202" s="18">
        <f>C202*D202</f>
        <v>399000</v>
      </c>
      <c r="F202" s="20"/>
      <c r="I202" s="85"/>
      <c r="J202" s="85"/>
    </row>
    <row r="203" spans="1:10" x14ac:dyDescent="0.2">
      <c r="A203" s="16" t="s">
        <v>210</v>
      </c>
      <c r="B203" s="17" t="s">
        <v>2</v>
      </c>
      <c r="C203" s="86">
        <v>13.75</v>
      </c>
      <c r="D203" s="18"/>
      <c r="E203" s="18"/>
      <c r="F203" s="20"/>
      <c r="I203" s="85"/>
      <c r="J203" s="85"/>
    </row>
    <row r="204" spans="1:10" x14ac:dyDescent="0.2">
      <c r="A204" s="16" t="s">
        <v>208</v>
      </c>
      <c r="B204" s="17" t="s">
        <v>29</v>
      </c>
      <c r="C204" s="147">
        <f>IFERROR(IF(C188&lt;=C187,E186-(C189/(100*C187)*C188)*E186,E186-E189),0)</f>
        <v>399000</v>
      </c>
      <c r="D204" s="18"/>
      <c r="E204" s="18"/>
      <c r="F204" s="20"/>
      <c r="I204" s="85"/>
      <c r="J204" s="85"/>
    </row>
    <row r="205" spans="1:10" x14ac:dyDescent="0.2">
      <c r="A205" s="16" t="s">
        <v>113</v>
      </c>
      <c r="B205" s="17" t="s">
        <v>29</v>
      </c>
      <c r="C205" s="83">
        <f>IFERROR(IF(C188&gt;=C187,C204,((((C204)-(E186-E189))*(((C187-C188)+1)/(2*(C187-C188))))+(E186-E189))),0)</f>
        <v>281969.31</v>
      </c>
      <c r="D205" s="18"/>
      <c r="E205" s="18"/>
      <c r="F205" s="20"/>
      <c r="I205" s="85"/>
      <c r="J205" s="85"/>
    </row>
    <row r="206" spans="1:10" ht="13.5" thickBot="1" x14ac:dyDescent="0.25">
      <c r="A206" s="277" t="s">
        <v>114</v>
      </c>
      <c r="B206" s="278" t="s">
        <v>29</v>
      </c>
      <c r="C206" s="278"/>
      <c r="D206" s="280">
        <f>C203*C205/12/100</f>
        <v>3230.8983437500005</v>
      </c>
      <c r="E206" s="279">
        <f>D206</f>
        <v>3230.8983437500005</v>
      </c>
      <c r="F206" s="20"/>
      <c r="I206" s="85"/>
      <c r="J206" s="85"/>
    </row>
    <row r="207" spans="1:10" ht="13.5" thickTop="1" x14ac:dyDescent="0.2">
      <c r="A207" s="13" t="s">
        <v>109</v>
      </c>
      <c r="B207" s="14" t="s">
        <v>10</v>
      </c>
      <c r="C207" s="14">
        <f>C191</f>
        <v>1</v>
      </c>
      <c r="D207" s="15">
        <f>D191</f>
        <v>0</v>
      </c>
      <c r="E207" s="15">
        <f>C207*D207</f>
        <v>0</v>
      </c>
      <c r="F207" s="20"/>
      <c r="I207" s="85"/>
      <c r="J207" s="85"/>
    </row>
    <row r="208" spans="1:10" x14ac:dyDescent="0.2">
      <c r="A208" s="16" t="s">
        <v>210</v>
      </c>
      <c r="B208" s="17" t="s">
        <v>2</v>
      </c>
      <c r="C208" s="275">
        <f>C203</f>
        <v>13.75</v>
      </c>
      <c r="D208" s="18"/>
      <c r="E208" s="18"/>
      <c r="F208" s="20"/>
      <c r="I208" s="85"/>
      <c r="J208" s="85"/>
    </row>
    <row r="209" spans="1:10" x14ac:dyDescent="0.2">
      <c r="A209" s="16" t="s">
        <v>209</v>
      </c>
      <c r="B209" s="17" t="s">
        <v>29</v>
      </c>
      <c r="C209" s="147">
        <f>IFERROR(IF(C193&lt;=C192,E191-(C194/(100*C192)*C193)*E191,E191-E194),0)</f>
        <v>0</v>
      </c>
      <c r="D209" s="18"/>
      <c r="E209" s="18"/>
      <c r="F209" s="20"/>
      <c r="I209" s="85"/>
      <c r="J209" s="85"/>
    </row>
    <row r="210" spans="1:10" x14ac:dyDescent="0.2">
      <c r="A210" s="16" t="s">
        <v>115</v>
      </c>
      <c r="B210" s="17" t="s">
        <v>29</v>
      </c>
      <c r="C210" s="83">
        <f>IFERROR(IF(C193&gt;=C192,C209,((((C209)-(E191-E194))*(((C192-C193)+1)/(2*(C192-C193))))+(E191-E194))),0)</f>
        <v>0</v>
      </c>
      <c r="D210" s="18"/>
      <c r="E210" s="18"/>
      <c r="F210" s="20"/>
      <c r="I210" s="85"/>
      <c r="J210" s="85"/>
    </row>
    <row r="211" spans="1:10" x14ac:dyDescent="0.2">
      <c r="A211" s="103" t="s">
        <v>112</v>
      </c>
      <c r="B211" s="104" t="s">
        <v>29</v>
      </c>
      <c r="C211" s="104"/>
      <c r="D211" s="112">
        <f>C208*C210/12/100</f>
        <v>0</v>
      </c>
      <c r="E211" s="105">
        <f>D211</f>
        <v>0</v>
      </c>
      <c r="F211" s="20"/>
      <c r="I211" s="85"/>
      <c r="J211" s="85"/>
    </row>
    <row r="212" spans="1:10" x14ac:dyDescent="0.2">
      <c r="A212" s="115" t="s">
        <v>252</v>
      </c>
      <c r="B212" s="116"/>
      <c r="C212" s="116"/>
      <c r="D212" s="117"/>
      <c r="E212" s="118">
        <f>E206+E211</f>
        <v>3230.8983437500005</v>
      </c>
      <c r="F212" s="20"/>
      <c r="I212" s="85"/>
      <c r="J212" s="85"/>
    </row>
    <row r="213" spans="1:10" ht="13.5" thickBot="1" x14ac:dyDescent="0.25">
      <c r="A213" s="103" t="s">
        <v>253</v>
      </c>
      <c r="B213" s="104" t="s">
        <v>10</v>
      </c>
      <c r="C213" s="275">
        <f>C197</f>
        <v>1</v>
      </c>
      <c r="D213" s="105">
        <f>E212</f>
        <v>3230.8983437500005</v>
      </c>
      <c r="E213" s="118">
        <f>C213*D213</f>
        <v>3230.8983437500005</v>
      </c>
      <c r="F213" s="20"/>
      <c r="I213" s="85"/>
      <c r="J213" s="85"/>
    </row>
    <row r="214" spans="1:10" ht="13.5" thickBot="1" x14ac:dyDescent="0.25">
      <c r="C214" s="19"/>
      <c r="D214" s="122" t="s">
        <v>189</v>
      </c>
      <c r="E214" s="50">
        <f>$B$52</f>
        <v>1</v>
      </c>
      <c r="F214" s="21">
        <f>E213*E214</f>
        <v>3230.8983437500005</v>
      </c>
      <c r="I214" s="85"/>
      <c r="J214" s="85"/>
    </row>
    <row r="215" spans="1:10" ht="11.25" customHeight="1" x14ac:dyDescent="0.2">
      <c r="I215" s="85"/>
      <c r="J215" s="85"/>
    </row>
    <row r="216" spans="1:10" ht="13.5" thickBot="1" x14ac:dyDescent="0.25">
      <c r="A216" s="9" t="s">
        <v>46</v>
      </c>
      <c r="I216" s="85"/>
      <c r="J216" s="85"/>
    </row>
    <row r="217" spans="1:10" ht="13.5" thickBot="1" x14ac:dyDescent="0.25">
      <c r="A217" s="60" t="s">
        <v>59</v>
      </c>
      <c r="B217" s="61" t="s">
        <v>60</v>
      </c>
      <c r="C217" s="61" t="s">
        <v>36</v>
      </c>
      <c r="D217" s="62" t="s">
        <v>233</v>
      </c>
      <c r="E217" s="62" t="s">
        <v>61</v>
      </c>
      <c r="F217" s="63" t="s">
        <v>62</v>
      </c>
      <c r="I217" s="85"/>
      <c r="J217" s="85"/>
    </row>
    <row r="218" spans="1:10" x14ac:dyDescent="0.2">
      <c r="A218" s="13" t="s">
        <v>12</v>
      </c>
      <c r="B218" s="14" t="s">
        <v>10</v>
      </c>
      <c r="C218" s="15">
        <f>C197</f>
        <v>1</v>
      </c>
      <c r="D218" s="15">
        <v>11970</v>
      </c>
      <c r="E218" s="15">
        <f>C218*D218</f>
        <v>11970</v>
      </c>
      <c r="I218" s="85"/>
      <c r="J218" s="85"/>
    </row>
    <row r="219" spans="1:10" x14ac:dyDescent="0.2">
      <c r="A219" s="16" t="s">
        <v>188</v>
      </c>
      <c r="B219" s="17" t="s">
        <v>10</v>
      </c>
      <c r="C219" s="15">
        <f>C197</f>
        <v>1</v>
      </c>
      <c r="D219" s="89"/>
      <c r="E219" s="18">
        <f>C219*D219</f>
        <v>0</v>
      </c>
      <c r="I219" s="85"/>
      <c r="J219" s="85"/>
    </row>
    <row r="220" spans="1:10" x14ac:dyDescent="0.2">
      <c r="A220" s="16" t="s">
        <v>13</v>
      </c>
      <c r="B220" s="17" t="s">
        <v>10</v>
      </c>
      <c r="C220" s="15">
        <f>C197</f>
        <v>1</v>
      </c>
      <c r="D220" s="89"/>
      <c r="E220" s="18">
        <f>C220*D220</f>
        <v>0</v>
      </c>
      <c r="F220" s="31"/>
      <c r="I220" s="85"/>
      <c r="J220" s="85"/>
    </row>
    <row r="221" spans="1:10" ht="13.5" thickBot="1" x14ac:dyDescent="0.25">
      <c r="A221" s="103" t="s">
        <v>14</v>
      </c>
      <c r="B221" s="104" t="s">
        <v>8</v>
      </c>
      <c r="C221" s="104">
        <v>12</v>
      </c>
      <c r="D221" s="105">
        <v>11970</v>
      </c>
      <c r="E221" s="105">
        <v>997.5</v>
      </c>
      <c r="I221" s="85"/>
      <c r="J221" s="85"/>
    </row>
    <row r="222" spans="1:10" ht="13.5" thickBot="1" x14ac:dyDescent="0.25">
      <c r="D222" s="122" t="s">
        <v>189</v>
      </c>
      <c r="E222" s="50">
        <f>$B$52</f>
        <v>1</v>
      </c>
      <c r="F222" s="123">
        <f>E221*E222</f>
        <v>997.5</v>
      </c>
      <c r="I222" s="85"/>
      <c r="J222" s="85"/>
    </row>
    <row r="223" spans="1:10" ht="11.25" customHeight="1" x14ac:dyDescent="0.2">
      <c r="I223" s="85"/>
      <c r="J223" s="85"/>
    </row>
    <row r="224" spans="1:10" x14ac:dyDescent="0.2">
      <c r="A224" s="9" t="s">
        <v>47</v>
      </c>
      <c r="B224" s="32"/>
      <c r="I224" s="85"/>
      <c r="J224" s="85"/>
    </row>
    <row r="225" spans="1:10" x14ac:dyDescent="0.2">
      <c r="B225" s="32"/>
      <c r="I225" s="85"/>
      <c r="J225" s="85"/>
    </row>
    <row r="226" spans="1:10" x14ac:dyDescent="0.2">
      <c r="A226" s="103" t="s">
        <v>298</v>
      </c>
      <c r="B226" s="113">
        <v>208</v>
      </c>
      <c r="C226" s="9" t="s">
        <v>299</v>
      </c>
      <c r="I226" s="85"/>
      <c r="J226" s="85"/>
    </row>
    <row r="227" spans="1:10" ht="13.5" thickBot="1" x14ac:dyDescent="0.25">
      <c r="B227" s="32"/>
      <c r="I227" s="85"/>
      <c r="J227" s="85"/>
    </row>
    <row r="228" spans="1:10" ht="13.5" thickBot="1" x14ac:dyDescent="0.25">
      <c r="A228" s="60" t="s">
        <v>59</v>
      </c>
      <c r="B228" s="61" t="s">
        <v>60</v>
      </c>
      <c r="C228" s="61" t="s">
        <v>251</v>
      </c>
      <c r="D228" s="62" t="s">
        <v>233</v>
      </c>
      <c r="E228" s="62" t="s">
        <v>61</v>
      </c>
      <c r="F228" s="63" t="s">
        <v>62</v>
      </c>
      <c r="I228" s="85"/>
      <c r="J228" s="85"/>
    </row>
    <row r="229" spans="1:10" x14ac:dyDescent="0.2">
      <c r="A229" s="307" t="s">
        <v>306</v>
      </c>
      <c r="B229" s="317" t="s">
        <v>302</v>
      </c>
      <c r="C229" s="97">
        <v>6</v>
      </c>
      <c r="D229" s="98">
        <v>4.9000000000000004</v>
      </c>
      <c r="E229" s="15"/>
      <c r="I229" s="85"/>
      <c r="J229" s="85"/>
    </row>
    <row r="230" spans="1:10" x14ac:dyDescent="0.2">
      <c r="A230" s="16" t="s">
        <v>15</v>
      </c>
      <c r="B230" s="17" t="s">
        <v>303</v>
      </c>
      <c r="C230" s="94">
        <f>B226</f>
        <v>208</v>
      </c>
      <c r="D230" s="272">
        <f>IFERROR(+D229*C229,"-")</f>
        <v>29.400000000000002</v>
      </c>
      <c r="E230" s="18">
        <f>IFERROR(C230*D230,"-")</f>
        <v>6115.2000000000007</v>
      </c>
      <c r="I230" s="85"/>
      <c r="J230" s="85"/>
    </row>
    <row r="231" spans="1:10" x14ac:dyDescent="0.2">
      <c r="A231" s="16" t="s">
        <v>234</v>
      </c>
      <c r="B231" s="17" t="s">
        <v>304</v>
      </c>
      <c r="C231" s="100">
        <v>24</v>
      </c>
      <c r="D231" s="89">
        <v>50</v>
      </c>
      <c r="E231" s="18"/>
      <c r="G231" s="111"/>
      <c r="H231" s="52"/>
      <c r="I231" s="85"/>
      <c r="J231" s="85"/>
    </row>
    <row r="232" spans="1:10" x14ac:dyDescent="0.2">
      <c r="A232" s="16" t="s">
        <v>16</v>
      </c>
      <c r="B232" s="17" t="s">
        <v>303</v>
      </c>
      <c r="C232" s="94">
        <f>C230</f>
        <v>208</v>
      </c>
      <c r="D232" s="269">
        <f>+C231*D231/1000</f>
        <v>1.2</v>
      </c>
      <c r="E232" s="18">
        <f>C232*D232</f>
        <v>249.6</v>
      </c>
      <c r="G232" s="111"/>
      <c r="H232" s="52"/>
      <c r="I232" s="85"/>
      <c r="J232" s="85"/>
    </row>
    <row r="233" spans="1:10" x14ac:dyDescent="0.2">
      <c r="A233" s="16" t="s">
        <v>235</v>
      </c>
      <c r="B233" s="17" t="s">
        <v>304</v>
      </c>
      <c r="C233" s="100">
        <v>14</v>
      </c>
      <c r="D233" s="89">
        <v>29</v>
      </c>
      <c r="E233" s="18"/>
      <c r="G233" s="111"/>
      <c r="H233" s="52"/>
      <c r="I233" s="85"/>
      <c r="J233" s="85"/>
    </row>
    <row r="234" spans="1:10" x14ac:dyDescent="0.2">
      <c r="A234" s="16" t="s">
        <v>17</v>
      </c>
      <c r="B234" s="17" t="s">
        <v>303</v>
      </c>
      <c r="C234" s="94">
        <f>C230</f>
        <v>208</v>
      </c>
      <c r="D234" s="269">
        <f>+C233*D233/1000</f>
        <v>0.40600000000000003</v>
      </c>
      <c r="E234" s="18">
        <f>C234*D234</f>
        <v>84.448000000000008</v>
      </c>
      <c r="G234" s="111"/>
      <c r="H234" s="52"/>
      <c r="I234" s="85"/>
      <c r="J234" s="85"/>
    </row>
    <row r="235" spans="1:10" x14ac:dyDescent="0.2">
      <c r="A235" s="16" t="s">
        <v>236</v>
      </c>
      <c r="B235" s="17" t="s">
        <v>304</v>
      </c>
      <c r="C235" s="100">
        <v>10</v>
      </c>
      <c r="D235" s="89">
        <v>14</v>
      </c>
      <c r="E235" s="18"/>
      <c r="G235" s="111"/>
      <c r="H235" s="52"/>
      <c r="I235" s="85"/>
      <c r="J235" s="85"/>
    </row>
    <row r="236" spans="1:10" x14ac:dyDescent="0.2">
      <c r="A236" s="16" t="s">
        <v>18</v>
      </c>
      <c r="B236" s="17" t="s">
        <v>303</v>
      </c>
      <c r="C236" s="94">
        <f>C230</f>
        <v>208</v>
      </c>
      <c r="D236" s="269">
        <f>+C235*D235/1000</f>
        <v>0.14000000000000001</v>
      </c>
      <c r="E236" s="18">
        <f>C236*D236</f>
        <v>29.120000000000005</v>
      </c>
      <c r="G236" s="111"/>
      <c r="H236" s="52"/>
      <c r="I236" s="85"/>
      <c r="J236" s="85"/>
    </row>
    <row r="237" spans="1:10" x14ac:dyDescent="0.2">
      <c r="A237" s="16" t="s">
        <v>19</v>
      </c>
      <c r="B237" s="17" t="s">
        <v>305</v>
      </c>
      <c r="C237" s="100">
        <v>50</v>
      </c>
      <c r="D237" s="89">
        <v>16</v>
      </c>
      <c r="E237" s="18"/>
      <c r="G237" s="111"/>
      <c r="H237" s="52"/>
      <c r="I237" s="85"/>
      <c r="J237" s="85"/>
    </row>
    <row r="238" spans="1:10" x14ac:dyDescent="0.2">
      <c r="A238" s="16" t="s">
        <v>20</v>
      </c>
      <c r="B238" s="17" t="s">
        <v>303</v>
      </c>
      <c r="C238" s="94">
        <f>C230</f>
        <v>208</v>
      </c>
      <c r="D238" s="269">
        <f>+C237*D237/1000</f>
        <v>0.8</v>
      </c>
      <c r="E238" s="18">
        <f>C238*D238</f>
        <v>166.4</v>
      </c>
      <c r="G238" s="111"/>
      <c r="H238" s="52"/>
      <c r="I238" s="85"/>
      <c r="J238" s="85"/>
    </row>
    <row r="239" spans="1:10" ht="13.5" thickBot="1" x14ac:dyDescent="0.25">
      <c r="A239" s="103" t="s">
        <v>250</v>
      </c>
      <c r="B239" s="104" t="s">
        <v>116</v>
      </c>
      <c r="C239" s="270"/>
      <c r="D239" s="271">
        <f>IFERROR(D230+D232+D234+D236+D238,0)</f>
        <v>31.946000000000002</v>
      </c>
      <c r="E239" s="18"/>
      <c r="G239" s="111"/>
      <c r="H239" s="52"/>
      <c r="I239" s="85"/>
      <c r="J239" s="85"/>
    </row>
    <row r="240" spans="1:10" ht="13.5" thickBot="1" x14ac:dyDescent="0.25">
      <c r="F240" s="21">
        <f>SUM(E229:E238)</f>
        <v>6644.7680000000009</v>
      </c>
      <c r="I240" s="85"/>
      <c r="J240" s="85"/>
    </row>
    <row r="241" spans="1:10" ht="11.25" customHeight="1" x14ac:dyDescent="0.2">
      <c r="I241" s="85"/>
      <c r="J241" s="85"/>
    </row>
    <row r="242" spans="1:10" ht="13.5" thickBot="1" x14ac:dyDescent="0.25">
      <c r="A242" s="9" t="s">
        <v>48</v>
      </c>
      <c r="I242" s="85"/>
      <c r="J242" s="85"/>
    </row>
    <row r="243" spans="1:10" ht="13.5" thickBot="1" x14ac:dyDescent="0.25">
      <c r="A243" s="60" t="s">
        <v>59</v>
      </c>
      <c r="B243" s="61" t="s">
        <v>60</v>
      </c>
      <c r="C243" s="61" t="s">
        <v>36</v>
      </c>
      <c r="D243" s="62" t="s">
        <v>233</v>
      </c>
      <c r="E243" s="62" t="s">
        <v>61</v>
      </c>
      <c r="F243" s="63" t="s">
        <v>62</v>
      </c>
      <c r="I243" s="85"/>
      <c r="J243" s="85"/>
    </row>
    <row r="244" spans="1:10" ht="13.5" thickBot="1" x14ac:dyDescent="0.25">
      <c r="A244" s="307" t="s">
        <v>301</v>
      </c>
      <c r="B244" s="317" t="s">
        <v>300</v>
      </c>
      <c r="C244" s="94">
        <f>C230</f>
        <v>208</v>
      </c>
      <c r="D244" s="87">
        <v>17.03</v>
      </c>
      <c r="E244" s="15">
        <f>C244*D244</f>
        <v>3542.2400000000002</v>
      </c>
      <c r="I244" s="85"/>
      <c r="J244" s="85"/>
    </row>
    <row r="245" spans="1:10" ht="13.5" thickBot="1" x14ac:dyDescent="0.25">
      <c r="F245" s="21">
        <f>E244</f>
        <v>3542.2400000000002</v>
      </c>
      <c r="I245" s="85"/>
      <c r="J245" s="85"/>
    </row>
    <row r="246" spans="1:10" ht="11.25" customHeight="1" x14ac:dyDescent="0.2">
      <c r="I246" s="85"/>
      <c r="J246" s="85"/>
    </row>
    <row r="247" spans="1:10" ht="13.5" thickBot="1" x14ac:dyDescent="0.25">
      <c r="A247" s="9" t="s">
        <v>57</v>
      </c>
      <c r="I247" s="85"/>
      <c r="J247" s="85"/>
    </row>
    <row r="248" spans="1:10" ht="13.5" thickBot="1" x14ac:dyDescent="0.25">
      <c r="A248" s="60" t="s">
        <v>59</v>
      </c>
      <c r="B248" s="61" t="s">
        <v>60</v>
      </c>
      <c r="C248" s="61" t="s">
        <v>36</v>
      </c>
      <c r="D248" s="62" t="s">
        <v>233</v>
      </c>
      <c r="E248" s="62" t="s">
        <v>61</v>
      </c>
      <c r="F248" s="63" t="s">
        <v>62</v>
      </c>
      <c r="I248" s="85"/>
      <c r="J248" s="85"/>
    </row>
    <row r="249" spans="1:10" x14ac:dyDescent="0.2">
      <c r="A249" s="13" t="s">
        <v>307</v>
      </c>
      <c r="B249" s="14" t="s">
        <v>10</v>
      </c>
      <c r="C249" s="96">
        <v>2</v>
      </c>
      <c r="D249" s="87">
        <v>2376</v>
      </c>
      <c r="E249" s="15">
        <f>D249*C249</f>
        <v>4752</v>
      </c>
      <c r="I249" s="85"/>
      <c r="J249" s="85"/>
    </row>
    <row r="250" spans="1:10" x14ac:dyDescent="0.2">
      <c r="A250" s="13" t="s">
        <v>308</v>
      </c>
      <c r="B250" s="14" t="s">
        <v>10</v>
      </c>
      <c r="C250" s="96">
        <v>2</v>
      </c>
      <c r="D250" s="87">
        <v>2376</v>
      </c>
      <c r="E250" s="15">
        <f>D250*C250</f>
        <v>4752</v>
      </c>
      <c r="I250" s="85"/>
      <c r="J250" s="85"/>
    </row>
    <row r="251" spans="1:10" x14ac:dyDescent="0.2">
      <c r="A251" s="13" t="s">
        <v>309</v>
      </c>
      <c r="B251" s="14" t="s">
        <v>310</v>
      </c>
      <c r="C251" s="319">
        <v>2000</v>
      </c>
      <c r="D251" s="320">
        <f>E249</f>
        <v>4752</v>
      </c>
      <c r="E251" s="15">
        <f>D251/C251</f>
        <v>2.3759999999999999</v>
      </c>
      <c r="I251" s="85"/>
      <c r="J251" s="85"/>
    </row>
    <row r="252" spans="1:10" x14ac:dyDescent="0.2">
      <c r="A252" s="16" t="s">
        <v>311</v>
      </c>
      <c r="B252" s="318" t="s">
        <v>310</v>
      </c>
      <c r="C252" s="99">
        <v>5000</v>
      </c>
      <c r="D252" s="18">
        <f>E250</f>
        <v>4752</v>
      </c>
      <c r="E252" s="15">
        <f>D252/C252</f>
        <v>0.95040000000000002</v>
      </c>
      <c r="I252" s="85"/>
      <c r="J252" s="85"/>
    </row>
    <row r="253" spans="1:10" ht="13.5" thickBot="1" x14ac:dyDescent="0.25">
      <c r="A253" s="16" t="s">
        <v>50</v>
      </c>
      <c r="B253" s="17" t="s">
        <v>303</v>
      </c>
      <c r="C253" s="94">
        <f>B226</f>
        <v>208</v>
      </c>
      <c r="D253" s="18">
        <f>E251+E252</f>
        <v>3.3264</v>
      </c>
      <c r="E253" s="18">
        <f>D253*C253</f>
        <v>691.89120000000003</v>
      </c>
      <c r="I253" s="85"/>
      <c r="J253" s="85"/>
    </row>
    <row r="254" spans="1:10" ht="13.5" thickBot="1" x14ac:dyDescent="0.25">
      <c r="F254" s="21">
        <f>E253</f>
        <v>691.89120000000003</v>
      </c>
      <c r="I254" s="85"/>
      <c r="J254" s="85"/>
    </row>
    <row r="255" spans="1:10" ht="11.25" customHeight="1" x14ac:dyDescent="0.2">
      <c r="I255" s="85"/>
      <c r="J255" s="85"/>
    </row>
    <row r="256" spans="1:10" ht="11.25" customHeight="1" thickBot="1" x14ac:dyDescent="0.25">
      <c r="G256" s="9"/>
    </row>
    <row r="257" spans="1:7" ht="13.5" thickBot="1" x14ac:dyDescent="0.25">
      <c r="A257" s="24" t="s">
        <v>221</v>
      </c>
      <c r="B257" s="25"/>
      <c r="C257" s="25"/>
      <c r="D257" s="26"/>
      <c r="E257" s="27"/>
      <c r="F257" s="21">
        <f>+SUM(F186:F256)</f>
        <v>17274.53254375</v>
      </c>
      <c r="G257" s="9"/>
    </row>
    <row r="258" spans="1:7" ht="11.25" customHeight="1" x14ac:dyDescent="0.2">
      <c r="G258" s="9"/>
    </row>
    <row r="259" spans="1:7" x14ac:dyDescent="0.2">
      <c r="A259" s="34" t="s">
        <v>69</v>
      </c>
      <c r="B259" s="34"/>
      <c r="C259" s="34"/>
      <c r="D259" s="35"/>
      <c r="E259" s="35"/>
      <c r="F259" s="33"/>
      <c r="G259" s="9"/>
    </row>
    <row r="260" spans="1:7" ht="11.25" customHeight="1" thickBot="1" x14ac:dyDescent="0.25">
      <c r="G260" s="9"/>
    </row>
    <row r="261" spans="1:7" ht="13.5" thickBot="1" x14ac:dyDescent="0.25">
      <c r="A261" s="60" t="s">
        <v>59</v>
      </c>
      <c r="B261" s="61" t="s">
        <v>60</v>
      </c>
      <c r="C261" s="61" t="s">
        <v>36</v>
      </c>
      <c r="D261" s="62" t="s">
        <v>233</v>
      </c>
      <c r="E261" s="62" t="s">
        <v>61</v>
      </c>
      <c r="F261" s="63" t="s">
        <v>62</v>
      </c>
      <c r="G261" s="9"/>
    </row>
    <row r="262" spans="1:7" x14ac:dyDescent="0.2">
      <c r="A262" s="16" t="s">
        <v>67</v>
      </c>
      <c r="B262" s="17" t="s">
        <v>10</v>
      </c>
      <c r="C262" s="101">
        <v>0.16666666666666666</v>
      </c>
      <c r="D262" s="87">
        <v>50</v>
      </c>
      <c r="E262" s="18">
        <f>C262*D262</f>
        <v>8.3333333333333321</v>
      </c>
      <c r="F262" s="55"/>
      <c r="G262" s="9"/>
    </row>
    <row r="263" spans="1:7" x14ac:dyDescent="0.2">
      <c r="A263" s="16" t="s">
        <v>22</v>
      </c>
      <c r="B263" s="17" t="s">
        <v>10</v>
      </c>
      <c r="C263" s="101">
        <v>0.16666666666666666</v>
      </c>
      <c r="D263" s="87">
        <v>70</v>
      </c>
      <c r="E263" s="18">
        <f>C263*D263</f>
        <v>11.666666666666666</v>
      </c>
      <c r="F263" s="55"/>
      <c r="G263" s="9"/>
    </row>
    <row r="264" spans="1:7" x14ac:dyDescent="0.2">
      <c r="A264" s="16" t="s">
        <v>23</v>
      </c>
      <c r="B264" s="17" t="s">
        <v>10</v>
      </c>
      <c r="C264" s="101">
        <v>0.16666666666666666</v>
      </c>
      <c r="D264" s="87">
        <v>15</v>
      </c>
      <c r="E264" s="18">
        <f>C264*D264</f>
        <v>2.5</v>
      </c>
      <c r="F264" s="55"/>
      <c r="G264" s="9"/>
    </row>
    <row r="265" spans="1:7" x14ac:dyDescent="0.2">
      <c r="A265" s="16" t="s">
        <v>52</v>
      </c>
      <c r="B265" s="17" t="s">
        <v>53</v>
      </c>
      <c r="C265" s="101">
        <v>0.16666666666666666</v>
      </c>
      <c r="D265" s="87">
        <v>300</v>
      </c>
      <c r="E265" s="18">
        <f>C265*D265</f>
        <v>50</v>
      </c>
      <c r="F265" s="55"/>
      <c r="G265" s="9"/>
    </row>
    <row r="266" spans="1:7" ht="13.5" thickBot="1" x14ac:dyDescent="0.25">
      <c r="A266" s="16" t="s">
        <v>55</v>
      </c>
      <c r="B266" s="17" t="s">
        <v>53</v>
      </c>
      <c r="C266" s="101">
        <v>0.16666666666666666</v>
      </c>
      <c r="D266" s="87">
        <v>300</v>
      </c>
      <c r="E266" s="18">
        <f>C266*D266</f>
        <v>50</v>
      </c>
      <c r="F266" s="55"/>
      <c r="G266" s="9"/>
    </row>
    <row r="267" spans="1:7" ht="13.5" thickBot="1" x14ac:dyDescent="0.25">
      <c r="A267" s="34"/>
      <c r="B267" s="34"/>
      <c r="C267" s="34"/>
      <c r="D267" s="34"/>
      <c r="E267" s="35"/>
      <c r="F267" s="21">
        <f>SUM(E262:E266)</f>
        <v>122.5</v>
      </c>
      <c r="G267" s="9"/>
    </row>
    <row r="268" spans="1:7" ht="11.25" customHeight="1" thickBot="1" x14ac:dyDescent="0.25">
      <c r="G268" s="9"/>
    </row>
    <row r="269" spans="1:7" ht="13.5" thickBot="1" x14ac:dyDescent="0.25">
      <c r="A269" s="24" t="s">
        <v>222</v>
      </c>
      <c r="B269" s="25"/>
      <c r="C269" s="25"/>
      <c r="D269" s="26"/>
      <c r="E269" s="27"/>
      <c r="F269" s="21">
        <f>+F267</f>
        <v>122.5</v>
      </c>
      <c r="G269" s="9"/>
    </row>
    <row r="270" spans="1:7" ht="11.25" customHeight="1" x14ac:dyDescent="0.2">
      <c r="G270" s="9"/>
    </row>
    <row r="271" spans="1:7" x14ac:dyDescent="0.2">
      <c r="A271" s="34" t="s">
        <v>70</v>
      </c>
      <c r="B271" s="34"/>
      <c r="C271" s="34"/>
      <c r="D271" s="35"/>
      <c r="E271" s="35"/>
      <c r="F271" s="33"/>
    </row>
    <row r="272" spans="1:7" ht="11.25" customHeight="1" thickBot="1" x14ac:dyDescent="0.25"/>
    <row r="273" spans="1:7" ht="13.5" thickBot="1" x14ac:dyDescent="0.25">
      <c r="A273" s="60" t="s">
        <v>59</v>
      </c>
      <c r="B273" s="61" t="s">
        <v>60</v>
      </c>
      <c r="C273" s="61" t="s">
        <v>36</v>
      </c>
      <c r="D273" s="62" t="s">
        <v>233</v>
      </c>
      <c r="E273" s="62" t="s">
        <v>61</v>
      </c>
      <c r="F273" s="63" t="s">
        <v>62</v>
      </c>
    </row>
    <row r="274" spans="1:7" x14ac:dyDescent="0.2">
      <c r="A274" s="16" t="s">
        <v>219</v>
      </c>
      <c r="B274" s="53" t="s">
        <v>53</v>
      </c>
      <c r="C274" s="69">
        <f>C186</f>
        <v>1</v>
      </c>
      <c r="D274" s="89">
        <v>600</v>
      </c>
      <c r="E274" s="18">
        <f>+D274*C274</f>
        <v>600</v>
      </c>
      <c r="F274" s="55"/>
    </row>
    <row r="275" spans="1:7" x14ac:dyDescent="0.2">
      <c r="A275" s="16" t="s">
        <v>56</v>
      </c>
      <c r="B275" s="53" t="s">
        <v>8</v>
      </c>
      <c r="C275" s="153">
        <v>60</v>
      </c>
      <c r="D275" s="80">
        <f>SUM(E274:E274)</f>
        <v>600</v>
      </c>
      <c r="E275" s="80">
        <f>+D275/C275</f>
        <v>10</v>
      </c>
      <c r="F275" s="55"/>
    </row>
    <row r="276" spans="1:7" x14ac:dyDescent="0.2">
      <c r="A276" s="16" t="s">
        <v>220</v>
      </c>
      <c r="B276" s="17" t="s">
        <v>10</v>
      </c>
      <c r="C276" s="69">
        <f>+C274</f>
        <v>1</v>
      </c>
      <c r="D276" s="89">
        <v>200</v>
      </c>
      <c r="E276" s="18">
        <f>C276*D276</f>
        <v>200</v>
      </c>
      <c r="F276" s="55"/>
    </row>
    <row r="277" spans="1:7" ht="13.5" thickBot="1" x14ac:dyDescent="0.25">
      <c r="A277" s="16" t="s">
        <v>33</v>
      </c>
      <c r="B277" s="53" t="s">
        <v>8</v>
      </c>
      <c r="C277" s="153">
        <v>1</v>
      </c>
      <c r="D277" s="80">
        <f>+E276</f>
        <v>200</v>
      </c>
      <c r="E277" s="80">
        <f>+D277/C277</f>
        <v>200</v>
      </c>
      <c r="F277" s="55"/>
    </row>
    <row r="278" spans="1:7" ht="13.5" thickBot="1" x14ac:dyDescent="0.25">
      <c r="A278" s="81"/>
      <c r="B278" s="81"/>
      <c r="C278" s="81"/>
      <c r="D278" s="122" t="s">
        <v>189</v>
      </c>
      <c r="E278" s="50">
        <f>$B$52</f>
        <v>1</v>
      </c>
      <c r="F278" s="82">
        <f>(E275+E277)*E278</f>
        <v>210</v>
      </c>
    </row>
    <row r="279" spans="1:7" s="51" customFormat="1" ht="11.25" customHeight="1" thickBot="1" x14ac:dyDescent="0.25">
      <c r="A279" s="9"/>
      <c r="B279" s="9"/>
      <c r="C279" s="9"/>
      <c r="D279" s="10"/>
      <c r="E279" s="10"/>
      <c r="F279" s="10"/>
      <c r="G279" s="84"/>
    </row>
    <row r="280" spans="1:7" ht="13.5" thickBot="1" x14ac:dyDescent="0.25">
      <c r="A280" s="24" t="s">
        <v>218</v>
      </c>
      <c r="B280" s="25"/>
      <c r="C280" s="25"/>
      <c r="D280" s="26"/>
      <c r="E280" s="27"/>
      <c r="F280" s="21">
        <f>+F278</f>
        <v>210</v>
      </c>
    </row>
    <row r="281" spans="1:7" ht="13.5" thickBot="1" x14ac:dyDescent="0.25">
      <c r="A281" s="321"/>
      <c r="B281" s="28"/>
      <c r="C281" s="28"/>
      <c r="D281" s="29"/>
      <c r="E281" s="30"/>
      <c r="F281" s="322"/>
    </row>
    <row r="282" spans="1:7" ht="17.25" customHeight="1" thickBot="1" x14ac:dyDescent="0.25">
      <c r="A282" s="24" t="s">
        <v>223</v>
      </c>
      <c r="B282" s="28"/>
      <c r="C282" s="28"/>
      <c r="D282" s="29"/>
      <c r="E282" s="30"/>
      <c r="F282" s="22">
        <f>+F144+F178+F257+F269+F280+F281</f>
        <v>32757.051293150529</v>
      </c>
    </row>
    <row r="283" spans="1:7" x14ac:dyDescent="0.2">
      <c r="A283" s="11" t="s">
        <v>318</v>
      </c>
      <c r="F283" s="44">
        <v>3000</v>
      </c>
    </row>
    <row r="284" spans="1:7" x14ac:dyDescent="0.2">
      <c r="A284" s="11" t="s">
        <v>85</v>
      </c>
    </row>
    <row r="285" spans="1:7" ht="11.25" customHeight="1" thickBot="1" x14ac:dyDescent="0.25"/>
    <row r="286" spans="1:7" ht="13.5" thickBot="1" x14ac:dyDescent="0.25">
      <c r="A286" s="60" t="s">
        <v>59</v>
      </c>
      <c r="B286" s="61" t="s">
        <v>60</v>
      </c>
      <c r="C286" s="61" t="s">
        <v>36</v>
      </c>
      <c r="D286" s="62" t="s">
        <v>233</v>
      </c>
      <c r="E286" s="62" t="s">
        <v>61</v>
      </c>
      <c r="F286" s="63" t="s">
        <v>62</v>
      </c>
    </row>
    <row r="287" spans="1:7" ht="13.5" thickBot="1" x14ac:dyDescent="0.25">
      <c r="A287" s="13" t="s">
        <v>32</v>
      </c>
      <c r="B287" s="14" t="s">
        <v>2</v>
      </c>
      <c r="C287" s="140">
        <f>'4.BDI'!C20*100</f>
        <v>26.66</v>
      </c>
      <c r="D287" s="15">
        <f>F282</f>
        <v>32757.051293150529</v>
      </c>
      <c r="E287" s="15">
        <f>C287*D287/100</f>
        <v>8733.0298747539309</v>
      </c>
    </row>
    <row r="288" spans="1:7" ht="13.5" thickBot="1" x14ac:dyDescent="0.25">
      <c r="F288" s="21">
        <f>+E287</f>
        <v>8733.0298747539309</v>
      </c>
    </row>
    <row r="289" spans="1:7" ht="11.25" customHeight="1" thickBot="1" x14ac:dyDescent="0.25"/>
    <row r="290" spans="1:7" ht="13.5" thickBot="1" x14ac:dyDescent="0.25">
      <c r="A290" s="24" t="s">
        <v>237</v>
      </c>
      <c r="B290" s="28"/>
      <c r="C290" s="28"/>
      <c r="D290" s="29"/>
      <c r="E290" s="30"/>
      <c r="F290" s="22">
        <f>F288</f>
        <v>8733.0298747539309</v>
      </c>
    </row>
    <row r="291" spans="1:7" ht="11.25" customHeight="1" thickBot="1" x14ac:dyDescent="0.25"/>
    <row r="292" spans="1:7" ht="24.75" customHeight="1" thickBot="1" x14ac:dyDescent="0.25">
      <c r="A292" s="24" t="s">
        <v>224</v>
      </c>
      <c r="B292" s="28"/>
      <c r="C292" s="28"/>
      <c r="D292" s="29"/>
      <c r="E292" s="30"/>
      <c r="F292" s="22">
        <f>SUM(F282,F283,F290)</f>
        <v>44490.081167904456</v>
      </c>
    </row>
    <row r="293" spans="1:7" ht="12.6" customHeight="1" x14ac:dyDescent="0.2">
      <c r="A293" s="56"/>
      <c r="B293" s="56"/>
      <c r="C293" s="56"/>
      <c r="D293" s="57"/>
      <c r="E293" s="57"/>
      <c r="F293" s="57"/>
    </row>
    <row r="294" spans="1:7" ht="14.25" x14ac:dyDescent="0.2">
      <c r="A294" s="8"/>
      <c r="B294" s="8"/>
      <c r="C294" s="8"/>
      <c r="D294" s="36"/>
      <c r="E294" s="36"/>
    </row>
    <row r="295" spans="1:7" ht="16.149999999999999" hidden="1" customHeight="1" x14ac:dyDescent="0.2">
      <c r="A295" s="250" t="s">
        <v>217</v>
      </c>
      <c r="B295" s="251"/>
      <c r="C295" s="251"/>
      <c r="D295" s="252"/>
      <c r="E295" s="253" t="s">
        <v>21</v>
      </c>
      <c r="G295" s="10" t="s">
        <v>198</v>
      </c>
    </row>
    <row r="297" spans="1:7" ht="25.5" hidden="1" customHeight="1" thickBot="1" x14ac:dyDescent="0.25">
      <c r="A297" s="24" t="s">
        <v>66</v>
      </c>
      <c r="B297" s="25"/>
      <c r="C297" s="25"/>
      <c r="D297" s="26"/>
      <c r="E297" s="254" t="s">
        <v>28</v>
      </c>
      <c r="F297" s="255" t="str">
        <f>IFERROR(F292/D295,"-")</f>
        <v>-</v>
      </c>
      <c r="G297" s="10" t="s">
        <v>198</v>
      </c>
    </row>
    <row r="298" spans="1:7" ht="12.6" customHeight="1" x14ac:dyDescent="0.2">
      <c r="A298" s="34"/>
      <c r="B298" s="34"/>
      <c r="C298" s="34"/>
      <c r="D298" s="35"/>
      <c r="E298" s="35"/>
      <c r="F298" s="35"/>
    </row>
    <row r="299" spans="1:7" s="4" customFormat="1" ht="9.75" customHeight="1" x14ac:dyDescent="0.2">
      <c r="A299" s="39"/>
      <c r="B299" s="10"/>
      <c r="C299" s="10"/>
      <c r="D299" s="10"/>
      <c r="E299" s="10"/>
      <c r="F299" s="10"/>
      <c r="G299" s="6"/>
    </row>
    <row r="300" spans="1:7" s="4" customFormat="1" ht="9.75" customHeight="1" x14ac:dyDescent="0.2">
      <c r="A300" s="39"/>
      <c r="B300" s="10"/>
      <c r="C300" s="10"/>
      <c r="D300" s="10"/>
      <c r="E300" s="10"/>
      <c r="F300" s="10"/>
      <c r="G300" s="6"/>
    </row>
    <row r="301" spans="1:7" s="4" customFormat="1" ht="9.75" customHeight="1" x14ac:dyDescent="0.2">
      <c r="A301" s="39"/>
      <c r="B301" s="10"/>
      <c r="C301" s="10"/>
      <c r="D301" s="10"/>
      <c r="E301" s="10"/>
      <c r="F301" s="10"/>
      <c r="G301" s="6"/>
    </row>
    <row r="331" s="9" customFormat="1" ht="9" customHeight="1" x14ac:dyDescent="0.2"/>
  </sheetData>
  <mergeCells count="7">
    <mergeCell ref="A48:D48"/>
    <mergeCell ref="A24:C24"/>
    <mergeCell ref="A11:F11"/>
    <mergeCell ref="A12:F12"/>
    <mergeCell ref="A41:D41"/>
    <mergeCell ref="A14:F14"/>
    <mergeCell ref="A40:E40"/>
  </mergeCells>
  <phoneticPr fontId="9" type="noConversion"/>
  <hyperlinks>
    <hyperlink ref="A200" location="AbaRemun" display="3.1.2. Remuneração do Capital" xr:uid="{00000000-0004-0000-0000-000000000000}"/>
    <hyperlink ref="A184" location="AbaDeprec" display="3.1.1. Depreciação" xr:uid="{00000000-0004-0000-0000-000001000000}"/>
  </hyperlinks>
  <pageMargins left="0.9055118110236221" right="0.51181102362204722" top="0.74803149606299213" bottom="0.74803149606299213" header="0.31496062992125984" footer="0.31496062992125984"/>
  <pageSetup paperSize="9" scale="76" fitToHeight="0" orientation="portrait" r:id="rId1"/>
  <headerFooter alignWithMargins="0">
    <oddFooter>&amp;R&amp;P de &amp;N</oddFooter>
  </headerFooter>
  <rowBreaks count="4" manualBreakCount="4">
    <brk id="53" max="5" man="1"/>
    <brk id="123" max="5" man="1"/>
    <brk id="179" max="5" man="1"/>
    <brk id="246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8"/>
  <sheetViews>
    <sheetView topLeftCell="A25" zoomScaleNormal="100" workbookViewId="0">
      <selection activeCell="D31" sqref="D31"/>
    </sheetView>
  </sheetViews>
  <sheetFormatPr defaultRowHeight="12.75" x14ac:dyDescent="0.2"/>
  <cols>
    <col min="1" max="1" width="13.5703125" style="1" customWidth="1"/>
    <col min="2" max="2" width="39.5703125" style="1" bestFit="1" customWidth="1"/>
    <col min="3" max="3" width="14.5703125" style="1" customWidth="1"/>
    <col min="4" max="4" width="37.28515625" style="156" customWidth="1"/>
    <col min="5" max="10" width="9.140625" style="1"/>
    <col min="11" max="11" width="11" style="1" bestFit="1" customWidth="1"/>
    <col min="12" max="16384" width="9.140625" style="1"/>
  </cols>
  <sheetData>
    <row r="1" spans="1:12" x14ac:dyDescent="0.2">
      <c r="A1" s="11" t="s">
        <v>197</v>
      </c>
    </row>
    <row r="2" spans="1:12" x14ac:dyDescent="0.2">
      <c r="A2" s="139" t="s">
        <v>244</v>
      </c>
    </row>
    <row r="3" spans="1:12" s="4" customFormat="1" ht="15.6" customHeight="1" x14ac:dyDescent="0.2">
      <c r="B3" s="138"/>
      <c r="C3" s="138"/>
      <c r="D3" s="138"/>
      <c r="E3" s="138"/>
      <c r="F3" s="138"/>
      <c r="G3" s="6"/>
    </row>
    <row r="4" spans="1:12" s="4" customFormat="1" ht="15.6" customHeight="1" x14ac:dyDescent="0.2">
      <c r="A4" s="304" t="s">
        <v>289</v>
      </c>
      <c r="B4" s="138"/>
      <c r="C4" s="138"/>
      <c r="D4" s="138"/>
      <c r="E4" s="138"/>
      <c r="F4" s="138"/>
      <c r="G4" s="6"/>
    </row>
    <row r="5" spans="1:12" s="4" customFormat="1" ht="16.5" customHeight="1" x14ac:dyDescent="0.2">
      <c r="A5" s="304" t="s">
        <v>286</v>
      </c>
      <c r="B5" s="5"/>
      <c r="C5" s="5"/>
      <c r="D5" s="6"/>
      <c r="E5" s="6"/>
      <c r="F5" s="6"/>
      <c r="G5" s="6"/>
    </row>
    <row r="6" spans="1:12" ht="13.5" thickBot="1" x14ac:dyDescent="0.25"/>
    <row r="7" spans="1:12" ht="18" x14ac:dyDescent="0.2">
      <c r="A7" s="341" t="s">
        <v>227</v>
      </c>
      <c r="B7" s="342"/>
      <c r="C7" s="343"/>
      <c r="D7" s="148"/>
      <c r="E7" s="148"/>
      <c r="F7" s="148"/>
    </row>
    <row r="8" spans="1:12" ht="14.25" x14ac:dyDescent="0.2">
      <c r="A8" s="167" t="s">
        <v>135</v>
      </c>
      <c r="B8" s="168" t="s">
        <v>136</v>
      </c>
      <c r="C8" s="169" t="s">
        <v>137</v>
      </c>
      <c r="D8" s="170"/>
    </row>
    <row r="9" spans="1:12" ht="14.25" x14ac:dyDescent="0.2">
      <c r="A9" s="167" t="s">
        <v>138</v>
      </c>
      <c r="B9" s="168" t="s">
        <v>37</v>
      </c>
      <c r="C9" s="171">
        <v>0.2</v>
      </c>
      <c r="D9" s="170"/>
      <c r="F9" s="156"/>
      <c r="G9" s="156"/>
      <c r="H9" s="156"/>
      <c r="I9" s="156"/>
      <c r="J9" s="156"/>
      <c r="K9" s="156"/>
      <c r="L9" s="156"/>
    </row>
    <row r="10" spans="1:12" ht="14.25" x14ac:dyDescent="0.2">
      <c r="A10" s="167" t="s">
        <v>139</v>
      </c>
      <c r="B10" s="168" t="s">
        <v>140</v>
      </c>
      <c r="C10" s="171">
        <v>1.4999999999999999E-2</v>
      </c>
      <c r="D10" s="170"/>
      <c r="F10" s="156"/>
      <c r="G10" s="156"/>
      <c r="H10" s="156"/>
      <c r="I10" s="156"/>
      <c r="J10" s="156"/>
      <c r="K10" s="156"/>
      <c r="L10" s="156"/>
    </row>
    <row r="11" spans="1:12" ht="14.25" x14ac:dyDescent="0.2">
      <c r="A11" s="167" t="s">
        <v>141</v>
      </c>
      <c r="B11" s="168" t="s">
        <v>142</v>
      </c>
      <c r="C11" s="171">
        <v>0.01</v>
      </c>
      <c r="D11" s="170"/>
      <c r="F11" s="156"/>
      <c r="G11" s="156"/>
      <c r="H11" s="156"/>
      <c r="I11" s="156"/>
      <c r="J11" s="156"/>
      <c r="K11" s="156"/>
      <c r="L11" s="156"/>
    </row>
    <row r="12" spans="1:12" ht="14.25" x14ac:dyDescent="0.2">
      <c r="A12" s="167" t="s">
        <v>143</v>
      </c>
      <c r="B12" s="168" t="s">
        <v>144</v>
      </c>
      <c r="C12" s="171">
        <v>2E-3</v>
      </c>
      <c r="D12" s="170"/>
      <c r="F12" s="156"/>
      <c r="G12" s="156"/>
      <c r="H12" s="156"/>
      <c r="I12" s="156"/>
      <c r="J12" s="156"/>
      <c r="K12" s="156"/>
      <c r="L12" s="156"/>
    </row>
    <row r="13" spans="1:12" ht="14.25" x14ac:dyDescent="0.2">
      <c r="A13" s="167" t="s">
        <v>145</v>
      </c>
      <c r="B13" s="168" t="s">
        <v>146</v>
      </c>
      <c r="C13" s="171">
        <v>6.0000000000000001E-3</v>
      </c>
      <c r="D13" s="170"/>
      <c r="F13" s="156"/>
      <c r="G13" s="156"/>
      <c r="H13" s="156"/>
      <c r="I13" s="156"/>
      <c r="J13" s="156"/>
      <c r="K13" s="156"/>
      <c r="L13" s="156"/>
    </row>
    <row r="14" spans="1:12" ht="14.25" x14ac:dyDescent="0.2">
      <c r="A14" s="167" t="s">
        <v>147</v>
      </c>
      <c r="B14" s="168" t="s">
        <v>148</v>
      </c>
      <c r="C14" s="171">
        <v>2.5000000000000001E-2</v>
      </c>
      <c r="D14" s="170"/>
      <c r="F14" s="156"/>
      <c r="G14" s="156"/>
      <c r="H14" s="156"/>
      <c r="I14" s="156"/>
      <c r="J14" s="156"/>
      <c r="K14" s="156"/>
      <c r="L14" s="156"/>
    </row>
    <row r="15" spans="1:12" ht="14.25" x14ac:dyDescent="0.2">
      <c r="A15" s="167" t="s">
        <v>149</v>
      </c>
      <c r="B15" s="168" t="s">
        <v>150</v>
      </c>
      <c r="C15" s="171">
        <v>0.03</v>
      </c>
      <c r="D15" s="170"/>
      <c r="F15" s="156"/>
      <c r="G15" s="156"/>
      <c r="H15" s="156"/>
      <c r="I15" s="156"/>
      <c r="J15" s="156"/>
      <c r="K15" s="156"/>
      <c r="L15" s="156"/>
    </row>
    <row r="16" spans="1:12" ht="14.25" x14ac:dyDescent="0.2">
      <c r="A16" s="167" t="s">
        <v>151</v>
      </c>
      <c r="B16" s="168" t="s">
        <v>38</v>
      </c>
      <c r="C16" s="171">
        <v>0.08</v>
      </c>
      <c r="D16" s="172"/>
      <c r="F16" s="156"/>
      <c r="G16" s="156"/>
      <c r="H16" s="156"/>
      <c r="I16" s="156"/>
      <c r="J16" s="156"/>
      <c r="K16" s="156"/>
      <c r="L16" s="156"/>
    </row>
    <row r="17" spans="1:12" ht="15" x14ac:dyDescent="0.2">
      <c r="A17" s="167" t="s">
        <v>152</v>
      </c>
      <c r="B17" s="173" t="s">
        <v>153</v>
      </c>
      <c r="C17" s="174">
        <f>SUM(C9:C16)</f>
        <v>0.36800000000000005</v>
      </c>
      <c r="D17" s="172"/>
      <c r="F17" s="156"/>
      <c r="G17" s="156"/>
      <c r="H17" s="156"/>
      <c r="I17" s="156"/>
      <c r="J17" s="156"/>
      <c r="K17" s="156"/>
      <c r="L17" s="156"/>
    </row>
    <row r="18" spans="1:12" ht="15" x14ac:dyDescent="0.2">
      <c r="A18" s="175"/>
      <c r="B18" s="176"/>
      <c r="C18" s="177"/>
      <c r="D18" s="172"/>
      <c r="F18" s="156"/>
      <c r="G18" s="156"/>
      <c r="H18" s="156"/>
      <c r="I18" s="156"/>
      <c r="J18" s="156"/>
      <c r="K18" s="156"/>
      <c r="L18" s="156"/>
    </row>
    <row r="19" spans="1:12" ht="14.25" x14ac:dyDescent="0.2">
      <c r="A19" s="167" t="s">
        <v>154</v>
      </c>
      <c r="B19" s="178" t="s">
        <v>155</v>
      </c>
      <c r="C19" s="171">
        <f>ROUND(IF('3.CAGED'!C32&gt;24,(1-12/'3.CAGED'!C32)*0.1111,0.1111-C28),4)</f>
        <v>6.5699999999999995E-2</v>
      </c>
      <c r="D19" s="172"/>
      <c r="F19" s="156"/>
      <c r="G19" s="156"/>
      <c r="H19" s="156"/>
      <c r="I19" s="156"/>
      <c r="J19" s="156"/>
      <c r="K19" s="156"/>
      <c r="L19" s="156"/>
    </row>
    <row r="20" spans="1:12" ht="14.25" x14ac:dyDescent="0.2">
      <c r="A20" s="167" t="s">
        <v>156</v>
      </c>
      <c r="B20" s="178" t="s">
        <v>157</v>
      </c>
      <c r="C20" s="171">
        <f>ROUND('3.CAGED'!C36/'3.CAGED'!C33,4)</f>
        <v>8.3299999999999999E-2</v>
      </c>
      <c r="D20" s="172"/>
      <c r="F20" s="156"/>
      <c r="G20" s="156"/>
      <c r="H20" s="156"/>
      <c r="I20" s="156"/>
      <c r="J20" s="156"/>
      <c r="K20" s="156"/>
      <c r="L20" s="156"/>
    </row>
    <row r="21" spans="1:12" ht="14.25" x14ac:dyDescent="0.2">
      <c r="A21" s="167" t="s">
        <v>216</v>
      </c>
      <c r="B21" s="178" t="s">
        <v>159</v>
      </c>
      <c r="C21" s="171">
        <v>5.9999999999999995E-4</v>
      </c>
      <c r="D21" s="172"/>
      <c r="F21" s="156"/>
      <c r="G21" s="156"/>
      <c r="H21" s="156"/>
      <c r="I21" s="156"/>
      <c r="J21" s="156"/>
      <c r="K21" s="156"/>
      <c r="L21" s="156"/>
    </row>
    <row r="22" spans="1:12" ht="14.25" x14ac:dyDescent="0.2">
      <c r="A22" s="167" t="s">
        <v>158</v>
      </c>
      <c r="B22" s="178" t="s">
        <v>161</v>
      </c>
      <c r="C22" s="171">
        <v>8.2000000000000007E-3</v>
      </c>
      <c r="D22" s="172"/>
      <c r="F22" s="156"/>
      <c r="G22" s="156"/>
      <c r="H22" s="156"/>
      <c r="I22" s="156"/>
      <c r="J22" s="156"/>
      <c r="K22" s="156"/>
      <c r="L22" s="156"/>
    </row>
    <row r="23" spans="1:12" ht="14.25" x14ac:dyDescent="0.2">
      <c r="A23" s="167" t="s">
        <v>160</v>
      </c>
      <c r="B23" s="178" t="s">
        <v>163</v>
      </c>
      <c r="C23" s="171">
        <v>3.0999999999999999E-3</v>
      </c>
      <c r="D23" s="172"/>
      <c r="F23" s="156"/>
      <c r="G23" s="156"/>
      <c r="H23" s="156"/>
      <c r="I23" s="156"/>
      <c r="J23" s="156"/>
      <c r="K23" s="156"/>
      <c r="L23" s="156"/>
    </row>
    <row r="24" spans="1:12" ht="14.25" x14ac:dyDescent="0.2">
      <c r="A24" s="167" t="s">
        <v>162</v>
      </c>
      <c r="B24" s="178" t="s">
        <v>164</v>
      </c>
      <c r="C24" s="171">
        <v>1.66E-2</v>
      </c>
      <c r="D24" s="172"/>
      <c r="F24" s="156"/>
      <c r="G24" s="156"/>
      <c r="H24" s="156"/>
      <c r="I24" s="156"/>
      <c r="J24" s="156"/>
      <c r="K24" s="156"/>
      <c r="L24" s="156"/>
    </row>
    <row r="25" spans="1:12" ht="15" x14ac:dyDescent="0.2">
      <c r="A25" s="167" t="s">
        <v>165</v>
      </c>
      <c r="B25" s="173" t="s">
        <v>166</v>
      </c>
      <c r="C25" s="174">
        <f>SUM(C19:C24)</f>
        <v>0.17749999999999999</v>
      </c>
      <c r="D25" s="179"/>
      <c r="F25" s="156"/>
      <c r="G25" s="156"/>
      <c r="H25" s="156"/>
      <c r="I25" s="156"/>
      <c r="J25" s="156"/>
      <c r="K25" s="156"/>
      <c r="L25" s="156"/>
    </row>
    <row r="26" spans="1:12" ht="15" x14ac:dyDescent="0.2">
      <c r="A26" s="175"/>
      <c r="B26" s="176"/>
      <c r="C26" s="177"/>
      <c r="D26" s="179"/>
      <c r="F26" s="156"/>
      <c r="G26" s="156"/>
      <c r="H26" s="156"/>
      <c r="I26" s="156"/>
      <c r="J26" s="156"/>
      <c r="K26" s="156"/>
      <c r="L26" s="156"/>
    </row>
    <row r="27" spans="1:12" ht="14.25" x14ac:dyDescent="0.2">
      <c r="A27" s="167" t="s">
        <v>167</v>
      </c>
      <c r="B27" s="168" t="s">
        <v>168</v>
      </c>
      <c r="C27" s="171">
        <f>ROUND(('3.CAGED'!C37) *'3.CAGED'!C30/'3.CAGED'!C33,4)</f>
        <v>2.9000000000000001E-2</v>
      </c>
      <c r="D27" s="172"/>
      <c r="E27" s="180"/>
      <c r="F27" s="156"/>
      <c r="G27" s="156"/>
      <c r="H27" s="156"/>
      <c r="I27" s="156"/>
      <c r="J27" s="156"/>
      <c r="K27" s="156"/>
      <c r="L27" s="156"/>
    </row>
    <row r="28" spans="1:12" ht="14.25" x14ac:dyDescent="0.2">
      <c r="A28" s="167" t="s">
        <v>215</v>
      </c>
      <c r="B28" s="168" t="s">
        <v>170</v>
      </c>
      <c r="C28" s="171">
        <f>ROUND(IF('3.CAGED'!C32&gt;12,12/'3.CAGED'!C32*0.1111,0.1111),4)</f>
        <v>4.5400000000000003E-2</v>
      </c>
      <c r="D28" s="172"/>
      <c r="F28" s="156"/>
      <c r="G28" s="156"/>
      <c r="H28" s="181"/>
      <c r="I28" s="156"/>
      <c r="J28" s="156"/>
      <c r="K28" s="156"/>
      <c r="L28" s="156"/>
    </row>
    <row r="29" spans="1:12" ht="14.25" x14ac:dyDescent="0.2">
      <c r="A29" s="167" t="s">
        <v>169</v>
      </c>
      <c r="B29" s="168" t="s">
        <v>172</v>
      </c>
      <c r="C29" s="171">
        <f>C27*C28</f>
        <v>1.3166000000000002E-3</v>
      </c>
      <c r="D29" s="172"/>
      <c r="E29" s="180"/>
      <c r="F29" s="156"/>
      <c r="G29" s="156"/>
      <c r="H29" s="156"/>
      <c r="I29" s="156"/>
      <c r="J29" s="156"/>
      <c r="K29" s="156"/>
      <c r="L29" s="156"/>
    </row>
    <row r="30" spans="1:12" ht="14.25" x14ac:dyDescent="0.2">
      <c r="A30" s="167" t="s">
        <v>171</v>
      </c>
      <c r="B30" s="168" t="s">
        <v>174</v>
      </c>
      <c r="C30" s="171">
        <f>ROUND(('3.CAGED'!C33+'3.CAGED'!C34+'3.CAGED'!C36)/'3.CAGED'!C31*'3.CAGED'!C38*'3.CAGED'!C39*'3.CAGED'!C30/'3.CAGED'!C33,4)</f>
        <v>3.15E-2</v>
      </c>
      <c r="D30" s="172"/>
      <c r="F30" s="156"/>
      <c r="G30" s="182"/>
      <c r="H30" s="156"/>
      <c r="I30" s="156"/>
      <c r="J30" s="156"/>
      <c r="K30" s="156"/>
      <c r="L30" s="156"/>
    </row>
    <row r="31" spans="1:12" ht="14.25" x14ac:dyDescent="0.2">
      <c r="A31" s="167" t="s">
        <v>173</v>
      </c>
      <c r="B31" s="168" t="s">
        <v>175</v>
      </c>
      <c r="C31" s="171">
        <f>ROUND(('3.CAGED'!C35/'3.CAGED'!C33)*'3.CAGED'!C30/12,4)</f>
        <v>2E-3</v>
      </c>
      <c r="D31" s="172"/>
      <c r="F31" s="156"/>
      <c r="G31" s="156"/>
      <c r="H31" s="156"/>
      <c r="I31" s="156"/>
      <c r="J31" s="156"/>
      <c r="K31" s="156"/>
      <c r="L31" s="156"/>
    </row>
    <row r="32" spans="1:12" ht="15" x14ac:dyDescent="0.2">
      <c r="A32" s="167" t="s">
        <v>176</v>
      </c>
      <c r="B32" s="173" t="s">
        <v>177</v>
      </c>
      <c r="C32" s="174">
        <f>SUM(C27:C31)</f>
        <v>0.10921660000000001</v>
      </c>
      <c r="D32" s="179"/>
      <c r="F32" s="156"/>
      <c r="G32" s="156"/>
      <c r="H32" s="156"/>
      <c r="I32" s="156"/>
      <c r="J32" s="156"/>
      <c r="K32" s="156"/>
      <c r="L32" s="156"/>
    </row>
    <row r="33" spans="1:12" ht="15" x14ac:dyDescent="0.2">
      <c r="A33" s="175"/>
      <c r="B33" s="176"/>
      <c r="C33" s="177"/>
      <c r="D33" s="179"/>
      <c r="F33" s="156"/>
      <c r="G33" s="156"/>
      <c r="H33" s="156"/>
      <c r="I33" s="156"/>
      <c r="J33" s="156"/>
      <c r="K33" s="156"/>
      <c r="L33" s="156"/>
    </row>
    <row r="34" spans="1:12" ht="14.25" x14ac:dyDescent="0.2">
      <c r="A34" s="167" t="s">
        <v>178</v>
      </c>
      <c r="B34" s="168" t="s">
        <v>179</v>
      </c>
      <c r="C34" s="171">
        <f>ROUND(C17*C25,4)</f>
        <v>6.5299999999999997E-2</v>
      </c>
      <c r="D34" s="172"/>
      <c r="F34" s="156"/>
      <c r="G34" s="156"/>
      <c r="H34" s="156"/>
      <c r="I34" s="156"/>
      <c r="J34" s="156"/>
      <c r="K34" s="156"/>
      <c r="L34" s="156"/>
    </row>
    <row r="35" spans="1:12" ht="28.5" x14ac:dyDescent="0.2">
      <c r="A35" s="167" t="s">
        <v>180</v>
      </c>
      <c r="B35" s="183" t="s">
        <v>285</v>
      </c>
      <c r="C35" s="171">
        <f>ROUND((C27*C16),4)</f>
        <v>2.3E-3</v>
      </c>
      <c r="D35" s="172"/>
      <c r="F35" s="156"/>
      <c r="G35" s="156"/>
      <c r="H35" s="156"/>
      <c r="I35" s="156"/>
      <c r="J35" s="156"/>
      <c r="K35" s="156"/>
      <c r="L35" s="156"/>
    </row>
    <row r="36" spans="1:12" ht="15" x14ac:dyDescent="0.2">
      <c r="A36" s="167" t="s">
        <v>181</v>
      </c>
      <c r="B36" s="173" t="s">
        <v>182</v>
      </c>
      <c r="C36" s="174">
        <f>SUM(C34:C35)</f>
        <v>6.7599999999999993E-2</v>
      </c>
      <c r="D36" s="184"/>
      <c r="F36" s="156"/>
      <c r="G36" s="156"/>
      <c r="H36" s="156"/>
      <c r="I36" s="156"/>
      <c r="J36" s="156"/>
      <c r="K36" s="156"/>
      <c r="L36" s="156"/>
    </row>
    <row r="37" spans="1:12" ht="15.75" thickBot="1" x14ac:dyDescent="0.25">
      <c r="A37" s="185"/>
      <c r="B37" s="186" t="s">
        <v>183</v>
      </c>
      <c r="C37" s="187">
        <f>C36+C32+C25+C17</f>
        <v>0.72231660000000009</v>
      </c>
      <c r="D37" s="184"/>
      <c r="F37" s="156"/>
      <c r="G37" s="156"/>
      <c r="H37" s="156"/>
      <c r="I37" s="156"/>
      <c r="J37" s="156"/>
      <c r="K37" s="156"/>
      <c r="L37" s="156"/>
    </row>
    <row r="38" spans="1:12" ht="15" x14ac:dyDescent="0.2">
      <c r="A38" s="172"/>
      <c r="B38" s="188"/>
      <c r="C38" s="189"/>
      <c r="D38" s="190"/>
      <c r="F38" s="156"/>
      <c r="G38" s="156"/>
      <c r="H38" s="156"/>
      <c r="I38" s="156"/>
      <c r="J38" s="156"/>
      <c r="K38" s="156"/>
      <c r="L38" s="156"/>
    </row>
    <row r="39" spans="1:12" ht="14.25" x14ac:dyDescent="0.2">
      <c r="A39" s="172"/>
      <c r="B39" s="172"/>
      <c r="C39" s="191"/>
      <c r="D39" s="192"/>
      <c r="F39" s="156"/>
      <c r="G39" s="156"/>
      <c r="H39" s="156"/>
      <c r="I39" s="156"/>
      <c r="J39" s="156"/>
      <c r="K39" s="156"/>
      <c r="L39" s="156"/>
    </row>
    <row r="40" spans="1:12" ht="14.25" x14ac:dyDescent="0.2">
      <c r="A40" s="170"/>
      <c r="B40" s="170"/>
      <c r="C40" s="193"/>
      <c r="D40" s="170"/>
      <c r="F40" s="156"/>
      <c r="G40" s="156"/>
      <c r="H40" s="156"/>
      <c r="I40" s="156"/>
      <c r="J40" s="156"/>
      <c r="K40" s="156"/>
      <c r="L40" s="156"/>
    </row>
    <row r="41" spans="1:12" ht="14.25" x14ac:dyDescent="0.2">
      <c r="A41" s="170"/>
      <c r="B41" s="170"/>
      <c r="C41" s="193"/>
      <c r="D41" s="170"/>
      <c r="F41" s="156"/>
      <c r="G41" s="156"/>
      <c r="H41" s="156"/>
      <c r="I41" s="156"/>
      <c r="J41" s="156"/>
      <c r="K41" s="156"/>
      <c r="L41" s="156"/>
    </row>
    <row r="42" spans="1:12" ht="14.25" x14ac:dyDescent="0.2">
      <c r="A42" s="170"/>
      <c r="B42" s="170"/>
      <c r="C42" s="193"/>
      <c r="D42" s="170"/>
      <c r="F42" s="156"/>
      <c r="G42" s="156"/>
      <c r="H42" s="156"/>
      <c r="I42" s="156"/>
      <c r="J42" s="156"/>
      <c r="K42" s="156"/>
      <c r="L42" s="156"/>
    </row>
    <row r="43" spans="1:12" ht="15" x14ac:dyDescent="0.2">
      <c r="A43" s="170"/>
      <c r="B43" s="194"/>
      <c r="C43" s="195"/>
      <c r="D43" s="170"/>
      <c r="F43" s="156"/>
      <c r="G43" s="156"/>
      <c r="H43" s="156"/>
      <c r="I43" s="156"/>
      <c r="J43" s="156"/>
      <c r="K43" s="156"/>
      <c r="L43" s="156"/>
    </row>
    <row r="44" spans="1:12" ht="15" x14ac:dyDescent="0.2">
      <c r="A44" s="184"/>
      <c r="B44" s="194"/>
      <c r="C44" s="195"/>
      <c r="D44" s="184"/>
      <c r="E44" s="156"/>
      <c r="F44" s="156"/>
      <c r="G44" s="156"/>
      <c r="H44" s="156"/>
      <c r="I44" s="156"/>
      <c r="J44" s="156"/>
      <c r="K44" s="156"/>
      <c r="L44" s="156"/>
    </row>
    <row r="45" spans="1:12" ht="16.5" x14ac:dyDescent="0.2">
      <c r="A45" s="196"/>
      <c r="B45" s="156"/>
      <c r="C45" s="156"/>
      <c r="E45" s="156"/>
      <c r="F45" s="156"/>
      <c r="G45" s="156"/>
      <c r="H45" s="156"/>
      <c r="I45" s="156"/>
      <c r="J45" s="156"/>
      <c r="K45" s="156"/>
      <c r="L45" s="156"/>
    </row>
    <row r="46" spans="1:12" x14ac:dyDescent="0.2">
      <c r="A46" s="197"/>
      <c r="B46" s="198"/>
      <c r="C46" s="198"/>
      <c r="E46" s="156"/>
      <c r="F46" s="156"/>
      <c r="G46" s="156"/>
      <c r="H46" s="156"/>
      <c r="I46" s="156"/>
      <c r="J46" s="156"/>
      <c r="K46" s="156"/>
      <c r="L46" s="156"/>
    </row>
    <row r="47" spans="1:12" ht="14.25" x14ac:dyDescent="0.2">
      <c r="A47" s="170"/>
      <c r="B47" s="199"/>
      <c r="C47" s="198"/>
      <c r="E47" s="156"/>
      <c r="F47" s="156"/>
      <c r="G47" s="156"/>
      <c r="H47" s="156"/>
      <c r="I47" s="156"/>
      <c r="J47" s="156"/>
      <c r="K47" s="156"/>
      <c r="L47" s="156"/>
    </row>
    <row r="48" spans="1:12" ht="14.25" x14ac:dyDescent="0.2">
      <c r="A48" s="170"/>
      <c r="B48" s="199"/>
      <c r="C48" s="170"/>
      <c r="E48" s="156"/>
      <c r="F48" s="156"/>
      <c r="G48" s="156"/>
      <c r="H48" s="156"/>
      <c r="I48" s="156"/>
      <c r="J48" s="156"/>
      <c r="K48" s="156"/>
      <c r="L48" s="156"/>
    </row>
    <row r="49" spans="1:12" ht="14.25" x14ac:dyDescent="0.2">
      <c r="A49" s="170"/>
      <c r="B49" s="193"/>
      <c r="C49" s="198"/>
      <c r="E49" s="156"/>
      <c r="F49" s="156"/>
      <c r="G49" s="156"/>
      <c r="H49" s="156"/>
      <c r="I49" s="156"/>
      <c r="J49" s="156"/>
      <c r="K49" s="156"/>
      <c r="L49" s="156"/>
    </row>
    <row r="50" spans="1:12" ht="14.25" x14ac:dyDescent="0.2">
      <c r="A50" s="170"/>
      <c r="B50" s="199"/>
      <c r="C50" s="170"/>
      <c r="E50" s="156"/>
      <c r="F50" s="156"/>
      <c r="G50" s="156"/>
      <c r="H50" s="156"/>
      <c r="I50" s="156"/>
      <c r="J50" s="156"/>
      <c r="K50" s="156"/>
      <c r="L50" s="156"/>
    </row>
    <row r="51" spans="1:12" ht="14.25" x14ac:dyDescent="0.2">
      <c r="A51" s="170"/>
      <c r="B51" s="193"/>
      <c r="C51" s="198"/>
      <c r="E51" s="156"/>
      <c r="F51" s="156"/>
      <c r="G51" s="156"/>
      <c r="H51" s="156"/>
      <c r="I51" s="156"/>
      <c r="J51" s="156"/>
      <c r="K51" s="156"/>
      <c r="L51" s="156"/>
    </row>
    <row r="52" spans="1:12" ht="14.25" x14ac:dyDescent="0.2">
      <c r="A52" s="170"/>
      <c r="B52" s="199"/>
      <c r="C52" s="170"/>
      <c r="E52" s="156"/>
      <c r="F52" s="156"/>
      <c r="G52" s="156"/>
      <c r="H52" s="156"/>
      <c r="I52" s="156"/>
      <c r="J52" s="156"/>
      <c r="K52" s="156"/>
      <c r="L52" s="156"/>
    </row>
    <row r="53" spans="1:12" ht="14.25" x14ac:dyDescent="0.2">
      <c r="A53" s="170"/>
      <c r="B53" s="193"/>
      <c r="C53" s="198"/>
      <c r="E53" s="156"/>
      <c r="F53" s="156"/>
      <c r="G53" s="156"/>
      <c r="H53" s="156"/>
      <c r="I53" s="156"/>
      <c r="J53" s="156"/>
      <c r="K53" s="156"/>
      <c r="L53" s="156"/>
    </row>
    <row r="54" spans="1:12" ht="14.25" x14ac:dyDescent="0.2">
      <c r="A54" s="170"/>
      <c r="B54" s="199"/>
      <c r="C54" s="170"/>
      <c r="E54" s="156"/>
      <c r="F54" s="156"/>
      <c r="G54" s="156"/>
      <c r="H54" s="156"/>
      <c r="I54" s="156"/>
      <c r="J54" s="156"/>
      <c r="K54" s="156"/>
      <c r="L54" s="156"/>
    </row>
    <row r="55" spans="1:12" ht="14.25" x14ac:dyDescent="0.2">
      <c r="A55" s="170"/>
      <c r="B55" s="193"/>
      <c r="C55" s="198"/>
      <c r="E55" s="156"/>
      <c r="F55" s="156"/>
      <c r="G55" s="156"/>
      <c r="H55" s="156"/>
      <c r="I55" s="156"/>
      <c r="J55" s="156"/>
      <c r="K55" s="156"/>
      <c r="L55" s="156"/>
    </row>
    <row r="56" spans="1:12" ht="16.5" x14ac:dyDescent="0.2">
      <c r="A56" s="196"/>
      <c r="B56" s="156"/>
      <c r="C56" s="156"/>
      <c r="E56" s="156"/>
      <c r="F56" s="156"/>
      <c r="G56" s="156"/>
      <c r="H56" s="156"/>
      <c r="I56" s="156"/>
      <c r="J56" s="156"/>
      <c r="K56" s="156"/>
      <c r="L56" s="156"/>
    </row>
    <row r="57" spans="1:12" x14ac:dyDescent="0.2">
      <c r="A57" s="156"/>
      <c r="B57" s="156"/>
      <c r="C57" s="156"/>
      <c r="E57" s="156"/>
      <c r="F57" s="156"/>
      <c r="G57" s="156"/>
      <c r="H57" s="156"/>
      <c r="I57" s="156"/>
      <c r="J57" s="156"/>
      <c r="K57" s="156"/>
      <c r="L57" s="156"/>
    </row>
    <row r="58" spans="1:12" x14ac:dyDescent="0.2">
      <c r="A58" s="156"/>
      <c r="B58" s="156"/>
      <c r="C58" s="156"/>
      <c r="E58" s="156"/>
      <c r="F58" s="156"/>
      <c r="G58" s="156"/>
      <c r="H58" s="156"/>
      <c r="I58" s="156"/>
      <c r="J58" s="156"/>
      <c r="K58" s="156"/>
      <c r="L58" s="156"/>
    </row>
    <row r="59" spans="1:12" x14ac:dyDescent="0.2">
      <c r="A59" s="200"/>
      <c r="B59" s="156"/>
      <c r="C59" s="156"/>
      <c r="E59" s="156"/>
      <c r="F59" s="156"/>
      <c r="G59" s="156"/>
      <c r="H59" s="156"/>
      <c r="I59" s="156"/>
      <c r="J59" s="156"/>
      <c r="K59" s="156"/>
      <c r="L59" s="156"/>
    </row>
    <row r="60" spans="1:12" x14ac:dyDescent="0.2">
      <c r="A60" s="156"/>
      <c r="B60" s="156"/>
      <c r="C60" s="156"/>
      <c r="E60" s="156"/>
    </row>
    <row r="61" spans="1:12" x14ac:dyDescent="0.2">
      <c r="A61" s="156"/>
      <c r="B61" s="156"/>
      <c r="C61" s="156"/>
      <c r="E61" s="156"/>
    </row>
    <row r="62" spans="1:12" x14ac:dyDescent="0.2">
      <c r="A62" s="156"/>
      <c r="B62" s="156"/>
      <c r="C62" s="156"/>
      <c r="E62" s="156"/>
    </row>
    <row r="63" spans="1:12" x14ac:dyDescent="0.2">
      <c r="A63" s="156"/>
      <c r="B63" s="156"/>
      <c r="C63" s="156"/>
      <c r="E63" s="156"/>
    </row>
    <row r="64" spans="1:12" x14ac:dyDescent="0.2">
      <c r="A64" s="156"/>
      <c r="B64" s="156"/>
      <c r="C64" s="156"/>
      <c r="E64" s="156"/>
    </row>
    <row r="65" spans="1:5" x14ac:dyDescent="0.2">
      <c r="A65" s="156"/>
      <c r="B65" s="156"/>
      <c r="C65" s="156"/>
      <c r="E65" s="156"/>
    </row>
    <row r="66" spans="1:5" x14ac:dyDescent="0.2">
      <c r="A66" s="156"/>
      <c r="B66" s="156"/>
      <c r="C66" s="156"/>
      <c r="E66" s="156"/>
    </row>
    <row r="67" spans="1:5" x14ac:dyDescent="0.2">
      <c r="A67" s="156"/>
      <c r="B67" s="156"/>
      <c r="C67" s="156"/>
      <c r="E67" s="156"/>
    </row>
    <row r="68" spans="1:5" x14ac:dyDescent="0.2">
      <c r="A68" s="156"/>
      <c r="B68" s="156"/>
      <c r="C68" s="156"/>
      <c r="E68" s="156"/>
    </row>
  </sheetData>
  <mergeCells count="1">
    <mergeCell ref="A7:C7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zoomScaleNormal="100" workbookViewId="0">
      <selection activeCell="D26" sqref="D26"/>
    </sheetView>
  </sheetViews>
  <sheetFormatPr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customWidth="1"/>
    <col min="5" max="5" width="13.7109375" style="1" customWidth="1"/>
    <col min="6" max="16384" width="9.140625" style="1"/>
  </cols>
  <sheetData>
    <row r="1" spans="1:3" x14ac:dyDescent="0.2">
      <c r="A1" s="107" t="s">
        <v>238</v>
      </c>
    </row>
    <row r="3" spans="1:3" x14ac:dyDescent="0.2">
      <c r="A3" s="1" t="s">
        <v>204</v>
      </c>
    </row>
    <row r="4" spans="1:3" x14ac:dyDescent="0.2">
      <c r="A4" s="276" t="s">
        <v>200</v>
      </c>
    </row>
    <row r="5" spans="1:3" ht="25.5" customHeight="1" x14ac:dyDescent="0.2">
      <c r="A5" s="347" t="s">
        <v>248</v>
      </c>
      <c r="B5" s="346"/>
      <c r="C5" s="346"/>
    </row>
    <row r="6" spans="1:3" x14ac:dyDescent="0.2">
      <c r="A6" s="1" t="s">
        <v>201</v>
      </c>
    </row>
    <row r="7" spans="1:3" ht="26.25" customHeight="1" x14ac:dyDescent="0.2">
      <c r="A7" s="346" t="s">
        <v>202</v>
      </c>
      <c r="B7" s="346"/>
      <c r="C7" s="346"/>
    </row>
    <row r="8" spans="1:3" x14ac:dyDescent="0.2">
      <c r="A8" s="1" t="s">
        <v>203</v>
      </c>
    </row>
    <row r="9" spans="1:3" x14ac:dyDescent="0.2">
      <c r="A9" s="306" t="s">
        <v>239</v>
      </c>
    </row>
    <row r="10" spans="1:3" ht="13.5" thickBot="1" x14ac:dyDescent="0.25"/>
    <row r="11" spans="1:3" ht="18" x14ac:dyDescent="0.25">
      <c r="B11" s="344" t="s">
        <v>225</v>
      </c>
      <c r="C11" s="345"/>
    </row>
    <row r="12" spans="1:3" ht="15" x14ac:dyDescent="0.25">
      <c r="A12" s="156"/>
      <c r="B12" s="155" t="s">
        <v>199</v>
      </c>
      <c r="C12" s="201"/>
    </row>
    <row r="13" spans="1:3" ht="15" x14ac:dyDescent="0.25">
      <c r="A13" s="156"/>
      <c r="B13" s="157" t="s">
        <v>119</v>
      </c>
      <c r="C13" s="158">
        <v>1932</v>
      </c>
    </row>
    <row r="14" spans="1:3" ht="15" x14ac:dyDescent="0.25">
      <c r="A14" s="156"/>
      <c r="B14" s="159" t="s">
        <v>120</v>
      </c>
      <c r="C14" s="158">
        <v>2197</v>
      </c>
    </row>
    <row r="15" spans="1:3" ht="14.25" x14ac:dyDescent="0.2">
      <c r="A15" s="156"/>
      <c r="B15" s="202" t="s">
        <v>121</v>
      </c>
      <c r="C15" s="203">
        <v>25</v>
      </c>
    </row>
    <row r="16" spans="1:3" ht="14.25" x14ac:dyDescent="0.2">
      <c r="A16" s="156"/>
      <c r="B16" s="202" t="s">
        <v>122</v>
      </c>
      <c r="C16" s="203">
        <v>1463</v>
      </c>
    </row>
    <row r="17" spans="1:5" ht="14.25" x14ac:dyDescent="0.2">
      <c r="A17" s="156"/>
      <c r="B17" s="202" t="s">
        <v>123</v>
      </c>
      <c r="C17" s="203">
        <v>321</v>
      </c>
    </row>
    <row r="18" spans="1:5" ht="14.25" x14ac:dyDescent="0.2">
      <c r="A18" s="156"/>
      <c r="B18" s="202" t="s">
        <v>124</v>
      </c>
      <c r="C18" s="203">
        <v>12</v>
      </c>
    </row>
    <row r="19" spans="1:5" ht="14.25" x14ac:dyDescent="0.2">
      <c r="A19" s="156"/>
      <c r="B19" s="202" t="s">
        <v>125</v>
      </c>
      <c r="C19" s="203">
        <v>339</v>
      </c>
    </row>
    <row r="20" spans="1:5" ht="14.25" x14ac:dyDescent="0.2">
      <c r="A20" s="156"/>
      <c r="B20" s="202" t="s">
        <v>126</v>
      </c>
      <c r="C20" s="203">
        <v>0</v>
      </c>
    </row>
    <row r="21" spans="1:5" ht="14.25" x14ac:dyDescent="0.2">
      <c r="A21" s="156"/>
      <c r="B21" s="202" t="s">
        <v>127</v>
      </c>
      <c r="C21" s="203">
        <v>22</v>
      </c>
    </row>
    <row r="22" spans="1:5" ht="14.25" x14ac:dyDescent="0.2">
      <c r="A22" s="156"/>
      <c r="B22" s="204" t="s">
        <v>128</v>
      </c>
      <c r="C22" s="205">
        <v>0</v>
      </c>
    </row>
    <row r="23" spans="1:5" ht="14.25" x14ac:dyDescent="0.2">
      <c r="A23" s="156"/>
      <c r="B23" s="312" t="s">
        <v>292</v>
      </c>
      <c r="C23" s="205">
        <v>0</v>
      </c>
    </row>
    <row r="24" spans="1:5" ht="15" x14ac:dyDescent="0.25">
      <c r="A24" s="156" t="s">
        <v>129</v>
      </c>
      <c r="B24" s="155" t="s">
        <v>130</v>
      </c>
      <c r="C24" s="201"/>
    </row>
    <row r="25" spans="1:5" ht="14.25" x14ac:dyDescent="0.2">
      <c r="A25" s="156"/>
      <c r="B25" s="206" t="s">
        <v>293</v>
      </c>
      <c r="C25" s="207">
        <v>5183</v>
      </c>
    </row>
    <row r="26" spans="1:5" ht="14.25" x14ac:dyDescent="0.2">
      <c r="A26" s="156"/>
      <c r="B26" s="202" t="s">
        <v>294</v>
      </c>
      <c r="C26" s="203">
        <v>4918</v>
      </c>
    </row>
    <row r="27" spans="1:5" ht="14.25" x14ac:dyDescent="0.2">
      <c r="B27" s="202" t="s">
        <v>295</v>
      </c>
      <c r="C27" s="305">
        <f>C13-C14</f>
        <v>-265</v>
      </c>
    </row>
    <row r="28" spans="1:5" ht="14.25" x14ac:dyDescent="0.2">
      <c r="B28" s="208"/>
      <c r="C28" s="209"/>
    </row>
    <row r="29" spans="1:5" s="107" customFormat="1" ht="15" x14ac:dyDescent="0.25">
      <c r="B29" s="157" t="s">
        <v>132</v>
      </c>
      <c r="C29" s="210">
        <f>MEDIAN(C25,C26)</f>
        <v>5050.5</v>
      </c>
    </row>
    <row r="30" spans="1:5" ht="15" x14ac:dyDescent="0.25">
      <c r="B30" s="159" t="s">
        <v>290</v>
      </c>
      <c r="C30" s="310">
        <f>C16/C29</f>
        <v>0.28967428967428965</v>
      </c>
    </row>
    <row r="31" spans="1:5" ht="15" x14ac:dyDescent="0.25">
      <c r="B31" s="159" t="s">
        <v>291</v>
      </c>
      <c r="C31" s="310">
        <f>MEDIAN(C13,C14)/C29</f>
        <v>0.40877140877140877</v>
      </c>
      <c r="E31" s="276"/>
    </row>
    <row r="32" spans="1:5" s="107" customFormat="1" ht="15" x14ac:dyDescent="0.25">
      <c r="B32" s="159" t="s">
        <v>245</v>
      </c>
      <c r="C32" s="308">
        <f>12/C31</f>
        <v>29.356260595785905</v>
      </c>
    </row>
    <row r="33" spans="2:3" ht="15" x14ac:dyDescent="0.25">
      <c r="B33" s="159" t="s">
        <v>131</v>
      </c>
      <c r="C33" s="161">
        <v>360</v>
      </c>
    </row>
    <row r="34" spans="2:3" ht="15" x14ac:dyDescent="0.25">
      <c r="B34" s="159" t="s">
        <v>240</v>
      </c>
      <c r="C34" s="161">
        <v>10</v>
      </c>
    </row>
    <row r="35" spans="2:3" ht="15" x14ac:dyDescent="0.25">
      <c r="B35" s="157" t="s">
        <v>241</v>
      </c>
      <c r="C35" s="160">
        <v>30</v>
      </c>
    </row>
    <row r="36" spans="2:3" ht="15" x14ac:dyDescent="0.25">
      <c r="B36" s="157" t="s">
        <v>242</v>
      </c>
      <c r="C36" s="160">
        <v>30</v>
      </c>
    </row>
    <row r="37" spans="2:3" s="107" customFormat="1" ht="15" x14ac:dyDescent="0.25">
      <c r="B37" s="157" t="s">
        <v>134</v>
      </c>
      <c r="C37" s="160">
        <f>30+(3*TRUNC(1/C31))</f>
        <v>36</v>
      </c>
    </row>
    <row r="38" spans="2:3" s="107" customFormat="1" ht="15" x14ac:dyDescent="0.25">
      <c r="B38" s="159" t="s">
        <v>38</v>
      </c>
      <c r="C38" s="309">
        <v>0.08</v>
      </c>
    </row>
    <row r="39" spans="2:3" s="107" customFormat="1" ht="15.75" thickBot="1" x14ac:dyDescent="0.3">
      <c r="B39" s="162" t="s">
        <v>133</v>
      </c>
      <c r="C39" s="311">
        <v>0.5</v>
      </c>
    </row>
  </sheetData>
  <mergeCells count="3">
    <mergeCell ref="B11:C11"/>
    <mergeCell ref="A7:C7"/>
    <mergeCell ref="A5:C5"/>
  </mergeCells>
  <pageMargins left="0.90551181102362199" right="0.51181102362204722" top="0.74803149606299213" bottom="0.74803149606299213" header="0.31496062992125984" footer="0.31496062992125984"/>
  <pageSetup paperSize="9" scale="98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zoomScaleNormal="100" workbookViewId="0">
      <selection activeCell="E16" sqref="E16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121" bestFit="1" customWidth="1"/>
    <col min="6" max="6" width="9.7109375" bestFit="1" customWidth="1"/>
  </cols>
  <sheetData>
    <row r="1" spans="1:8" s="145" customFormat="1" ht="14.25" x14ac:dyDescent="0.2">
      <c r="A1" s="11"/>
      <c r="B1" s="143"/>
      <c r="C1" s="143"/>
      <c r="E1" s="146"/>
    </row>
    <row r="2" spans="1:8" s="145" customFormat="1" ht="14.25" x14ac:dyDescent="0.2">
      <c r="A2" s="139"/>
      <c r="B2" s="143"/>
      <c r="C2" s="143"/>
      <c r="E2" s="146"/>
    </row>
    <row r="3" spans="1:8" s="145" customFormat="1" ht="14.25" x14ac:dyDescent="0.2">
      <c r="A3" s="9"/>
      <c r="B3" s="143"/>
      <c r="C3" s="143"/>
      <c r="E3" s="146"/>
    </row>
    <row r="4" spans="1:8" s="145" customFormat="1" ht="14.25" x14ac:dyDescent="0.2">
      <c r="A4" s="9"/>
      <c r="B4" s="143"/>
      <c r="C4" s="143"/>
      <c r="E4" s="146"/>
    </row>
    <row r="5" spans="1:8" s="4" customFormat="1" ht="15.6" customHeight="1" x14ac:dyDescent="0.2">
      <c r="A5" s="304"/>
      <c r="B5" s="138"/>
      <c r="C5" s="138"/>
      <c r="D5" s="138"/>
      <c r="E5" s="138"/>
      <c r="F5" s="138"/>
      <c r="G5" s="6"/>
    </row>
    <row r="6" spans="1:8" s="4" customFormat="1" ht="16.5" customHeight="1" x14ac:dyDescent="0.2">
      <c r="A6" s="304"/>
      <c r="B6" s="5"/>
      <c r="C6" s="5"/>
      <c r="D6" s="6"/>
      <c r="E6" s="6"/>
      <c r="F6" s="6"/>
      <c r="G6" s="6"/>
    </row>
    <row r="7" spans="1:8" s="145" customFormat="1" ht="15" thickBot="1" x14ac:dyDescent="0.25">
      <c r="B7" s="143"/>
      <c r="C7" s="143"/>
      <c r="E7" s="146"/>
    </row>
    <row r="8" spans="1:8" ht="15.75" x14ac:dyDescent="0.2">
      <c r="A8" s="353" t="s">
        <v>226</v>
      </c>
      <c r="B8" s="354"/>
      <c r="C8" s="354"/>
      <c r="D8" s="354"/>
      <c r="E8" s="354"/>
      <c r="F8" s="355"/>
    </row>
    <row r="9" spans="1:8" ht="16.5" thickBot="1" x14ac:dyDescent="0.25">
      <c r="A9" s="261"/>
      <c r="B9" s="262"/>
      <c r="C9" s="262"/>
      <c r="D9" s="262"/>
      <c r="E9" s="262"/>
      <c r="F9" s="263"/>
    </row>
    <row r="10" spans="1:8" ht="15" x14ac:dyDescent="0.25">
      <c r="A10" s="211"/>
      <c r="B10" s="144"/>
      <c r="C10" s="144"/>
      <c r="D10" s="350" t="s">
        <v>243</v>
      </c>
      <c r="E10" s="351"/>
      <c r="F10" s="352"/>
      <c r="G10" s="145"/>
      <c r="H10" s="145"/>
    </row>
    <row r="11" spans="1:8" ht="15" thickBot="1" x14ac:dyDescent="0.25">
      <c r="A11" s="208"/>
      <c r="B11" s="212"/>
      <c r="C11" s="212"/>
      <c r="D11" s="213" t="s">
        <v>184</v>
      </c>
      <c r="E11" s="214" t="s">
        <v>185</v>
      </c>
      <c r="F11" s="215" t="s">
        <v>186</v>
      </c>
      <c r="G11" s="145"/>
      <c r="H11" s="145"/>
    </row>
    <row r="12" spans="1:8" ht="14.25" x14ac:dyDescent="0.2">
      <c r="A12" s="216" t="s">
        <v>71</v>
      </c>
      <c r="B12" s="217" t="s">
        <v>72</v>
      </c>
      <c r="C12" s="218">
        <v>5.0799999999999998E-2</v>
      </c>
      <c r="D12" s="239">
        <v>2.9700000000000001E-2</v>
      </c>
      <c r="E12" s="240">
        <v>5.0799999999999998E-2</v>
      </c>
      <c r="F12" s="241">
        <v>6.2700000000000006E-2</v>
      </c>
      <c r="G12" s="145"/>
      <c r="H12" s="145"/>
    </row>
    <row r="13" spans="1:8" ht="14.25" x14ac:dyDescent="0.2">
      <c r="A13" s="220" t="s">
        <v>73</v>
      </c>
      <c r="B13" s="221" t="s">
        <v>74</v>
      </c>
      <c r="C13" s="222">
        <v>1.3299999999999999E-2</v>
      </c>
      <c r="D13" s="239">
        <f>0.3%+0.56%</f>
        <v>8.6E-3</v>
      </c>
      <c r="E13" s="240">
        <f>0.48%+0.85%</f>
        <v>1.3299999999999999E-2</v>
      </c>
      <c r="F13" s="241">
        <f>0.82%+0.89%</f>
        <v>1.7099999999999997E-2</v>
      </c>
      <c r="G13" s="145"/>
      <c r="H13" s="145"/>
    </row>
    <row r="14" spans="1:8" ht="14.25" x14ac:dyDescent="0.2">
      <c r="A14" s="220" t="s">
        <v>75</v>
      </c>
      <c r="B14" s="221" t="s">
        <v>76</v>
      </c>
      <c r="C14" s="222">
        <v>0.1085</v>
      </c>
      <c r="D14" s="239">
        <v>7.7799999999999994E-2</v>
      </c>
      <c r="E14" s="240">
        <v>0.1085</v>
      </c>
      <c r="F14" s="241">
        <v>0.13550000000000001</v>
      </c>
      <c r="G14" s="145"/>
      <c r="H14" s="145"/>
    </row>
    <row r="15" spans="1:8" ht="14.25" x14ac:dyDescent="0.2">
      <c r="A15" s="220" t="s">
        <v>77</v>
      </c>
      <c r="B15" s="221" t="s">
        <v>78</v>
      </c>
      <c r="C15" s="223">
        <f>(1+E15)^(E16/252)-1</f>
        <v>2.3602366139414688E-3</v>
      </c>
      <c r="D15" s="239" t="s">
        <v>277</v>
      </c>
      <c r="E15" s="224">
        <v>0.02</v>
      </c>
      <c r="F15" s="219"/>
      <c r="G15" s="145"/>
      <c r="H15" s="145"/>
    </row>
    <row r="16" spans="1:8" ht="14.25" x14ac:dyDescent="0.2">
      <c r="A16" s="220" t="s">
        <v>79</v>
      </c>
      <c r="B16" s="348" t="s">
        <v>80</v>
      </c>
      <c r="C16" s="222">
        <v>0.03</v>
      </c>
      <c r="D16" s="300" t="s">
        <v>187</v>
      </c>
      <c r="E16" s="225">
        <v>30</v>
      </c>
      <c r="F16" s="226"/>
      <c r="G16" s="145"/>
      <c r="H16" s="145"/>
    </row>
    <row r="17" spans="1:8" ht="15" thickBot="1" x14ac:dyDescent="0.25">
      <c r="A17" s="227" t="s">
        <v>81</v>
      </c>
      <c r="B17" s="349"/>
      <c r="C17" s="228">
        <v>3.6499999999999998E-2</v>
      </c>
      <c r="D17" s="202"/>
      <c r="E17" s="229"/>
      <c r="F17" s="226"/>
      <c r="G17" s="145"/>
      <c r="H17" s="145"/>
    </row>
    <row r="18" spans="1:8" ht="14.25" x14ac:dyDescent="0.2">
      <c r="A18" s="230" t="s">
        <v>82</v>
      </c>
      <c r="B18" s="231"/>
      <c r="C18" s="232"/>
      <c r="D18" s="202"/>
      <c r="E18" s="229"/>
      <c r="F18" s="226"/>
      <c r="G18" s="145"/>
      <c r="H18" s="145"/>
    </row>
    <row r="19" spans="1:8" ht="15" thickBot="1" x14ac:dyDescent="0.25">
      <c r="A19" s="233" t="s">
        <v>83</v>
      </c>
      <c r="B19" s="234"/>
      <c r="C19" s="235"/>
      <c r="D19" s="202"/>
      <c r="E19" s="229"/>
      <c r="F19" s="226"/>
      <c r="G19" s="145"/>
      <c r="H19" s="145"/>
    </row>
    <row r="20" spans="1:8" ht="15.75" thickBot="1" x14ac:dyDescent="0.25">
      <c r="A20" s="236" t="s">
        <v>84</v>
      </c>
      <c r="B20" s="237"/>
      <c r="C20" s="238">
        <f>ROUND((((1+C12+C13)*(1+C14)*(1+C15))/(1-(C16+C17))-1),4)</f>
        <v>0.2666</v>
      </c>
      <c r="D20" s="242">
        <v>0.21429999999999999</v>
      </c>
      <c r="E20" s="243">
        <v>0.2717</v>
      </c>
      <c r="F20" s="244">
        <v>0.3362</v>
      </c>
      <c r="G20" s="145"/>
      <c r="H20" s="145"/>
    </row>
    <row r="21" spans="1:8" ht="14.25" x14ac:dyDescent="0.2">
      <c r="A21" s="145"/>
      <c r="B21" s="145"/>
      <c r="C21" s="145"/>
      <c r="D21" s="145"/>
      <c r="E21" s="146"/>
      <c r="F21" s="145"/>
      <c r="G21" s="145"/>
      <c r="H21" s="145"/>
    </row>
    <row r="22" spans="1:8" ht="14.25" x14ac:dyDescent="0.2">
      <c r="A22" s="145"/>
      <c r="B22" s="145"/>
      <c r="C22" s="145"/>
      <c r="D22" s="145"/>
      <c r="E22" s="146"/>
      <c r="F22" s="145"/>
      <c r="G22" s="145"/>
      <c r="H22" s="145"/>
    </row>
    <row r="23" spans="1:8" ht="14.25" x14ac:dyDescent="0.2">
      <c r="A23" s="145"/>
      <c r="B23" s="145"/>
      <c r="C23" s="145"/>
      <c r="D23" s="145"/>
      <c r="E23" s="146"/>
      <c r="F23" s="145"/>
      <c r="G23" s="145"/>
      <c r="H23" s="145"/>
    </row>
    <row r="24" spans="1:8" ht="14.25" x14ac:dyDescent="0.2">
      <c r="A24" s="145"/>
      <c r="B24" s="145"/>
      <c r="C24" s="145"/>
      <c r="D24" s="145"/>
      <c r="E24" s="146"/>
      <c r="F24" s="145"/>
      <c r="G24" s="145"/>
      <c r="H24" s="145"/>
    </row>
  </sheetData>
  <mergeCells count="3">
    <mergeCell ref="B16:B17"/>
    <mergeCell ref="D10:F10"/>
    <mergeCell ref="A8:F8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7"/>
  <sheetViews>
    <sheetView workbookViewId="0">
      <selection activeCell="B12" sqref="B12"/>
    </sheetView>
  </sheetViews>
  <sheetFormatPr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356" t="s">
        <v>228</v>
      </c>
      <c r="B1" s="357"/>
    </row>
    <row r="2" spans="1:2" s="107" customFormat="1" ht="19.5" customHeight="1" x14ac:dyDescent="0.2">
      <c r="A2" s="264" t="s">
        <v>205</v>
      </c>
      <c r="B2" s="265" t="s">
        <v>279</v>
      </c>
    </row>
    <row r="3" spans="1:2" ht="19.5" customHeight="1" x14ac:dyDescent="0.2">
      <c r="A3" s="164">
        <v>1</v>
      </c>
      <c r="B3" s="163">
        <v>33.629999999999995</v>
      </c>
    </row>
    <row r="4" spans="1:2" ht="19.5" customHeight="1" x14ac:dyDescent="0.2">
      <c r="A4" s="164">
        <v>2</v>
      </c>
      <c r="B4" s="163">
        <v>43.13</v>
      </c>
    </row>
    <row r="5" spans="1:2" ht="19.5" customHeight="1" x14ac:dyDescent="0.2">
      <c r="A5" s="164">
        <v>3</v>
      </c>
      <c r="B5" s="163">
        <v>48.68</v>
      </c>
    </row>
    <row r="6" spans="1:2" ht="19.5" customHeight="1" x14ac:dyDescent="0.2">
      <c r="A6" s="164">
        <v>4</v>
      </c>
      <c r="B6" s="163">
        <v>52.62</v>
      </c>
    </row>
    <row r="7" spans="1:2" ht="19.5" customHeight="1" x14ac:dyDescent="0.2">
      <c r="A7" s="164">
        <v>5</v>
      </c>
      <c r="B7" s="163">
        <v>55.679999999999993</v>
      </c>
    </row>
    <row r="8" spans="1:2" ht="19.5" customHeight="1" x14ac:dyDescent="0.2">
      <c r="A8" s="164">
        <v>6</v>
      </c>
      <c r="B8" s="163">
        <v>58.18</v>
      </c>
    </row>
    <row r="9" spans="1:2" ht="19.5" customHeight="1" x14ac:dyDescent="0.2">
      <c r="A9" s="164">
        <v>7</v>
      </c>
      <c r="B9" s="163">
        <v>60.29</v>
      </c>
    </row>
    <row r="10" spans="1:2" ht="19.5" customHeight="1" x14ac:dyDescent="0.2">
      <c r="A10" s="164">
        <v>8</v>
      </c>
      <c r="B10" s="163">
        <v>62.12</v>
      </c>
    </row>
    <row r="11" spans="1:2" ht="19.5" customHeight="1" x14ac:dyDescent="0.2">
      <c r="A11" s="164">
        <v>9</v>
      </c>
      <c r="B11" s="163">
        <v>63.73</v>
      </c>
    </row>
    <row r="12" spans="1:2" ht="19.5" customHeight="1" x14ac:dyDescent="0.2">
      <c r="A12" s="164">
        <v>10</v>
      </c>
      <c r="B12" s="163">
        <v>65.180000000000007</v>
      </c>
    </row>
    <row r="13" spans="1:2" ht="19.5" customHeight="1" x14ac:dyDescent="0.2">
      <c r="A13" s="164">
        <v>11</v>
      </c>
      <c r="B13" s="163">
        <v>66.47999999999999</v>
      </c>
    </row>
    <row r="14" spans="1:2" ht="19.5" customHeight="1" x14ac:dyDescent="0.2">
      <c r="A14" s="164">
        <v>12</v>
      </c>
      <c r="B14" s="163">
        <v>67.67</v>
      </c>
    </row>
    <row r="15" spans="1:2" ht="19.5" customHeight="1" x14ac:dyDescent="0.2">
      <c r="A15" s="164">
        <v>13</v>
      </c>
      <c r="B15" s="163">
        <v>68.77</v>
      </c>
    </row>
    <row r="16" spans="1:2" ht="19.5" customHeight="1" x14ac:dyDescent="0.2">
      <c r="A16" s="164">
        <v>14</v>
      </c>
      <c r="B16" s="163">
        <v>69.789999999999992</v>
      </c>
    </row>
    <row r="17" spans="1:2" ht="19.5" customHeight="1" thickBot="1" x14ac:dyDescent="0.25">
      <c r="A17" s="165">
        <v>15</v>
      </c>
      <c r="B17" s="166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7"/>
  <sheetViews>
    <sheetView workbookViewId="0">
      <selection activeCell="A24" sqref="A24"/>
    </sheetView>
  </sheetViews>
  <sheetFormatPr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248" t="s">
        <v>232</v>
      </c>
    </row>
    <row r="2" spans="1:1" x14ac:dyDescent="0.2">
      <c r="A2" s="245"/>
    </row>
    <row r="3" spans="1:1" x14ac:dyDescent="0.2">
      <c r="A3" s="245" t="s">
        <v>246</v>
      </c>
    </row>
    <row r="4" spans="1:1" x14ac:dyDescent="0.2">
      <c r="A4" s="245"/>
    </row>
    <row r="5" spans="1:1" x14ac:dyDescent="0.2">
      <c r="A5" s="245"/>
    </row>
    <row r="6" spans="1:1" x14ac:dyDescent="0.2">
      <c r="A6" s="245"/>
    </row>
    <row r="7" spans="1:1" x14ac:dyDescent="0.2">
      <c r="A7" s="245"/>
    </row>
    <row r="8" spans="1:1" x14ac:dyDescent="0.2">
      <c r="A8" s="245"/>
    </row>
    <row r="9" spans="1:1" x14ac:dyDescent="0.2">
      <c r="A9" s="245"/>
    </row>
    <row r="10" spans="1:1" x14ac:dyDescent="0.2">
      <c r="A10" s="245"/>
    </row>
    <row r="11" spans="1:1" x14ac:dyDescent="0.2">
      <c r="A11" s="245"/>
    </row>
    <row r="12" spans="1:1" ht="19.5" x14ac:dyDescent="0.35">
      <c r="A12" s="246" t="s">
        <v>229</v>
      </c>
    </row>
    <row r="13" spans="1:1" ht="15" x14ac:dyDescent="0.2">
      <c r="A13" s="246" t="s">
        <v>106</v>
      </c>
    </row>
    <row r="14" spans="1:1" ht="15" x14ac:dyDescent="0.2">
      <c r="A14" s="246" t="s">
        <v>111</v>
      </c>
    </row>
    <row r="15" spans="1:1" ht="19.5" x14ac:dyDescent="0.35">
      <c r="A15" s="246" t="s">
        <v>230</v>
      </c>
    </row>
    <row r="16" spans="1:1" ht="19.5" x14ac:dyDescent="0.35">
      <c r="A16" s="246" t="s">
        <v>231</v>
      </c>
    </row>
    <row r="17" spans="1:1" ht="15.75" thickBot="1" x14ac:dyDescent="0.25">
      <c r="A17" s="247" t="s">
        <v>107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4"/>
  <sheetViews>
    <sheetView topLeftCell="A7" zoomScaleNormal="100" workbookViewId="0">
      <selection activeCell="E28" sqref="E28"/>
    </sheetView>
  </sheetViews>
  <sheetFormatPr defaultRowHeight="12.75" x14ac:dyDescent="0.2"/>
  <cols>
    <col min="1" max="1" width="58.28515625" style="276" customWidth="1"/>
    <col min="2" max="2" width="11.140625" style="276" bestFit="1" customWidth="1"/>
    <col min="3" max="3" width="11.28515625" style="276" bestFit="1" customWidth="1"/>
    <col min="4" max="16384" width="9.140625" style="276"/>
  </cols>
  <sheetData>
    <row r="1" spans="1:7" x14ac:dyDescent="0.2">
      <c r="A1" s="11" t="s">
        <v>197</v>
      </c>
    </row>
    <row r="2" spans="1:7" x14ac:dyDescent="0.2">
      <c r="A2" s="281" t="s">
        <v>254</v>
      </c>
    </row>
    <row r="3" spans="1:7" x14ac:dyDescent="0.2">
      <c r="A3" s="281" t="s">
        <v>280</v>
      </c>
    </row>
    <row r="4" spans="1:7" x14ac:dyDescent="0.2">
      <c r="A4" s="7" t="s">
        <v>278</v>
      </c>
    </row>
    <row r="5" spans="1:7" x14ac:dyDescent="0.2">
      <c r="A5" s="7"/>
    </row>
    <row r="6" spans="1:7" s="4" customFormat="1" ht="15.6" customHeight="1" x14ac:dyDescent="0.2">
      <c r="A6" s="304" t="s">
        <v>289</v>
      </c>
      <c r="B6" s="138"/>
      <c r="C6" s="138"/>
      <c r="D6" s="138"/>
      <c r="E6" s="138"/>
      <c r="F6" s="138"/>
      <c r="G6" s="6"/>
    </row>
    <row r="7" spans="1:7" s="4" customFormat="1" ht="16.5" customHeight="1" x14ac:dyDescent="0.2">
      <c r="A7" s="304" t="s">
        <v>286</v>
      </c>
      <c r="B7" s="5"/>
      <c r="C7" s="5"/>
      <c r="D7" s="6"/>
      <c r="E7" s="6"/>
      <c r="F7" s="6"/>
      <c r="G7" s="6"/>
    </row>
    <row r="8" spans="1:7" ht="13.5" thickBot="1" x14ac:dyDescent="0.25"/>
    <row r="9" spans="1:7" ht="18" x14ac:dyDescent="0.25">
      <c r="A9" s="358" t="s">
        <v>274</v>
      </c>
      <c r="B9" s="359"/>
      <c r="C9" s="360"/>
    </row>
    <row r="10" spans="1:7" s="282" customFormat="1" ht="18" x14ac:dyDescent="0.25">
      <c r="A10" s="297"/>
      <c r="B10" s="296"/>
      <c r="C10" s="298"/>
    </row>
    <row r="11" spans="1:7" s="107" customFormat="1" ht="15" x14ac:dyDescent="0.25">
      <c r="A11" s="283" t="s">
        <v>275</v>
      </c>
      <c r="B11" s="284" t="s">
        <v>255</v>
      </c>
      <c r="C11" s="285" t="s">
        <v>137</v>
      </c>
    </row>
    <row r="12" spans="1:7" ht="14.25" x14ac:dyDescent="0.2">
      <c r="A12" s="286" t="s">
        <v>263</v>
      </c>
      <c r="B12" s="287" t="s">
        <v>256</v>
      </c>
      <c r="C12" s="203">
        <v>39707</v>
      </c>
    </row>
    <row r="13" spans="1:7" ht="14.25" x14ac:dyDescent="0.2">
      <c r="A13" s="202" t="s">
        <v>264</v>
      </c>
      <c r="B13" s="288" t="s">
        <v>261</v>
      </c>
      <c r="C13" s="289">
        <f>0.0362741*C12^0.2336249</f>
        <v>0.43053306072546821</v>
      </c>
    </row>
    <row r="14" spans="1:7" ht="14.25" x14ac:dyDescent="0.2">
      <c r="A14" s="202" t="s">
        <v>265</v>
      </c>
      <c r="B14" s="288" t="s">
        <v>262</v>
      </c>
      <c r="C14" s="290">
        <f>C12*C13/1000</f>
        <v>17.095176242226167</v>
      </c>
    </row>
    <row r="15" spans="1:7" ht="14.25" x14ac:dyDescent="0.2">
      <c r="A15" s="202" t="s">
        <v>271</v>
      </c>
      <c r="B15" s="288" t="s">
        <v>257</v>
      </c>
      <c r="C15" s="291">
        <f>(C14*30)</f>
        <v>512.85528726678501</v>
      </c>
    </row>
    <row r="16" spans="1:7" ht="14.25" x14ac:dyDescent="0.2">
      <c r="A16" s="202" t="s">
        <v>267</v>
      </c>
      <c r="B16" s="288" t="s">
        <v>89</v>
      </c>
      <c r="C16" s="294">
        <v>6</v>
      </c>
    </row>
    <row r="17" spans="1:3" ht="14.25" x14ac:dyDescent="0.2">
      <c r="A17" s="202" t="s">
        <v>266</v>
      </c>
      <c r="B17" s="288" t="s">
        <v>262</v>
      </c>
      <c r="C17" s="290">
        <f>IFERROR(C14*7/C16,0)</f>
        <v>19.944372282597197</v>
      </c>
    </row>
    <row r="18" spans="1:3" ht="14.25" x14ac:dyDescent="0.2">
      <c r="A18" s="286" t="s">
        <v>258</v>
      </c>
      <c r="B18" s="288" t="s">
        <v>259</v>
      </c>
      <c r="C18" s="226">
        <v>500</v>
      </c>
    </row>
    <row r="19" spans="1:3" ht="14.25" x14ac:dyDescent="0.2">
      <c r="A19" s="202" t="s">
        <v>272</v>
      </c>
      <c r="B19" s="288"/>
      <c r="C19" s="203">
        <v>1</v>
      </c>
    </row>
    <row r="20" spans="1:3" ht="14.25" x14ac:dyDescent="0.2">
      <c r="A20" s="286" t="s">
        <v>273</v>
      </c>
      <c r="B20" s="288" t="s">
        <v>260</v>
      </c>
      <c r="C20" s="203">
        <v>15</v>
      </c>
    </row>
    <row r="21" spans="1:3" ht="14.25" x14ac:dyDescent="0.2">
      <c r="A21" s="202" t="s">
        <v>268</v>
      </c>
      <c r="B21" s="288" t="s">
        <v>257</v>
      </c>
      <c r="C21" s="226">
        <f>IF(AND(C20&gt;=15,C19=1),5.8,C20/2)</f>
        <v>5.8</v>
      </c>
    </row>
    <row r="22" spans="1:3" ht="14.25" x14ac:dyDescent="0.2">
      <c r="A22" s="286" t="s">
        <v>269</v>
      </c>
      <c r="B22" s="288"/>
      <c r="C22" s="290">
        <f>IFERROR(C17/C21,0)</f>
        <v>3.4386848763098614</v>
      </c>
    </row>
    <row r="23" spans="1:3" ht="14.25" x14ac:dyDescent="0.2">
      <c r="A23" s="286" t="s">
        <v>276</v>
      </c>
      <c r="B23" s="288"/>
      <c r="C23" s="299">
        <v>1</v>
      </c>
    </row>
    <row r="24" spans="1:3" ht="15" thickBot="1" x14ac:dyDescent="0.25">
      <c r="A24" s="292" t="s">
        <v>270</v>
      </c>
      <c r="B24" s="293"/>
      <c r="C24" s="295">
        <f>IFERROR(C22/C23,0)</f>
        <v>3.4386848763098614</v>
      </c>
    </row>
  </sheetData>
  <mergeCells count="1">
    <mergeCell ref="A9:C9"/>
  </mergeCells>
  <conditionalFormatting sqref="C21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Operação transbordo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'2.Encargos Sociais'!Area_de_impressao</vt:lpstr>
      <vt:lpstr>'Operação transbordo'!Area_de_impressao</vt:lpstr>
      <vt:lpstr>'Operação transbordo'!Titulos_de_impressao</vt:lpstr>
    </vt:vector>
  </TitlesOfParts>
  <Company>dmlu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Cliente</cp:lastModifiedBy>
  <cp:lastPrinted>2023-06-21T12:00:01Z</cp:lastPrinted>
  <dcterms:created xsi:type="dcterms:W3CDTF">2000-12-13T10:02:50Z</dcterms:created>
  <dcterms:modified xsi:type="dcterms:W3CDTF">2023-06-21T12:02:49Z</dcterms:modified>
</cp:coreProperties>
</file>