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uário\Documents\Arquivos\Empresa de consultoria\a prefeituras\Rosario\planilhas de custos\"/>
    </mc:Choice>
  </mc:AlternateContent>
  <bookViews>
    <workbookView xWindow="-120" yWindow="-120" windowWidth="20736" windowHeight="11160"/>
  </bookViews>
  <sheets>
    <sheet name="van 7 lugar" sheetId="1" r:id="rId1"/>
    <sheet name="onibus 40 lugar" sheetId="3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44" i="1" l="1"/>
  <c r="C44" i="3"/>
  <c r="B20" i="3" l="1"/>
  <c r="B18" i="1"/>
  <c r="D5" i="3" l="1"/>
  <c r="D5" i="1"/>
  <c r="D44" i="1" l="1"/>
  <c r="D45" i="1" s="1"/>
  <c r="D43" i="1"/>
  <c r="C40" i="1"/>
  <c r="D44" i="3"/>
  <c r="D45" i="3" s="1"/>
  <c r="D43" i="3"/>
  <c r="C40" i="3"/>
  <c r="C41" i="3" l="1"/>
  <c r="D42" i="3" s="1"/>
  <c r="D46" i="3"/>
  <c r="C41" i="1"/>
  <c r="D42" i="1" s="1"/>
  <c r="D46" i="1"/>
  <c r="D20" i="3"/>
  <c r="H59" i="3"/>
  <c r="H61" i="3" s="1"/>
  <c r="B18" i="3"/>
  <c r="D16" i="3"/>
  <c r="C13" i="3"/>
  <c r="B24" i="3" s="1"/>
  <c r="B10" i="3"/>
  <c r="B11" i="3" s="1"/>
  <c r="C12" i="3" s="1"/>
  <c r="B23" i="3" s="1"/>
  <c r="D7" i="3"/>
  <c r="C17" i="3" s="1"/>
  <c r="D47" i="3" l="1"/>
  <c r="D47" i="1"/>
  <c r="C19" i="3"/>
  <c r="D17" i="3"/>
  <c r="C18" i="3"/>
  <c r="D18" i="3" s="1"/>
  <c r="B20" i="1"/>
  <c r="B10" i="1"/>
  <c r="D7" i="1"/>
  <c r="D48" i="3" l="1"/>
  <c r="D49" i="3"/>
  <c r="D50" i="3" s="1"/>
  <c r="C21" i="3"/>
  <c r="D21" i="3" s="1"/>
  <c r="C22" i="3"/>
  <c r="C23" i="3" s="1"/>
  <c r="D19" i="3"/>
  <c r="H59" i="1"/>
  <c r="H61" i="1" s="1"/>
  <c r="I50" i="3" l="1"/>
  <c r="C24" i="3"/>
  <c r="D24" i="3" s="1"/>
  <c r="D23" i="3"/>
  <c r="D49" i="1"/>
  <c r="I60" i="3" l="1"/>
  <c r="I57" i="3"/>
  <c r="I53" i="3"/>
  <c r="I59" i="3"/>
  <c r="I56" i="3"/>
  <c r="I55" i="3"/>
  <c r="I58" i="3"/>
  <c r="I54" i="3"/>
  <c r="D48" i="1"/>
  <c r="I50" i="1" s="1"/>
  <c r="D50" i="1"/>
  <c r="D20" i="1"/>
  <c r="I61" i="3" l="1"/>
  <c r="I63" i="3" s="1"/>
  <c r="I64" i="3" s="1"/>
  <c r="B22" i="3" s="1"/>
  <c r="D22" i="3" s="1"/>
  <c r="D25" i="3" s="1"/>
  <c r="D27" i="3" s="1"/>
  <c r="I59" i="1"/>
  <c r="I58" i="1"/>
  <c r="I60" i="1"/>
  <c r="I54" i="1"/>
  <c r="I53" i="1"/>
  <c r="I55" i="1"/>
  <c r="I57" i="1"/>
  <c r="I56" i="1"/>
  <c r="D16" i="1"/>
  <c r="D28" i="3" l="1"/>
  <c r="D29" i="3" s="1"/>
  <c r="C13" i="1"/>
  <c r="B24" i="1" s="1"/>
  <c r="B11" i="1"/>
  <c r="C12" i="1" s="1"/>
  <c r="B23" i="1" s="1"/>
  <c r="C17" i="1"/>
  <c r="C19" i="1" s="1"/>
  <c r="D30" i="3" l="1"/>
  <c r="D32" i="3"/>
  <c r="C22" i="1"/>
  <c r="C21" i="1"/>
  <c r="D21" i="1" s="1"/>
  <c r="C18" i="1"/>
  <c r="D33" i="3" l="1"/>
  <c r="C23" i="1"/>
  <c r="D19" i="1"/>
  <c r="D18" i="1"/>
  <c r="D17" i="1"/>
  <c r="C24" i="1" l="1"/>
  <c r="D24" i="1" s="1"/>
  <c r="D23" i="1"/>
  <c r="I61" i="1" l="1"/>
  <c r="I63" i="1" s="1"/>
  <c r="I64" i="1" s="1"/>
  <c r="B22" i="1" s="1"/>
  <c r="D22" i="1" s="1"/>
  <c r="D25" i="1" s="1"/>
  <c r="D28" i="1" l="1"/>
  <c r="D27" i="1"/>
  <c r="D29" i="1" l="1"/>
  <c r="D30" i="1" l="1"/>
  <c r="D32" i="1"/>
  <c r="D33" i="1" l="1"/>
</calcChain>
</file>

<file path=xl/comments1.xml><?xml version="1.0" encoding="utf-8"?>
<comments xmlns="http://schemas.openxmlformats.org/spreadsheetml/2006/main">
  <authors>
    <author>Oscar Emil Soares</author>
  </authors>
  <commentList>
    <comment ref="D59" authorId="0" shapeId="0">
      <text>
        <r>
          <rPr>
            <b/>
            <sz val="9"/>
            <color indexed="81"/>
            <rFont val="Tahoma"/>
            <family val="2"/>
          </rPr>
          <t>CAPP:</t>
        </r>
        <r>
          <rPr>
            <sz val="9"/>
            <color indexed="81"/>
            <rFont val="Tahoma"/>
            <family val="2"/>
          </rPr>
          <t xml:space="preserve">
Riscos Ambientais do Trabalho = 1%, 2% ou 3%. Depende do CNAE (Classificação Nacional de Atividade Econômica) da empresa.</t>
        </r>
      </text>
    </comment>
    <comment ref="F59" authorId="0" shapeId="0">
      <text>
        <r>
          <rPr>
            <b/>
            <sz val="9"/>
            <color indexed="81"/>
            <rFont val="Tahoma"/>
            <family val="2"/>
          </rPr>
          <t>CAPP:</t>
        </r>
        <r>
          <rPr>
            <sz val="9"/>
            <color indexed="81"/>
            <rFont val="Tahoma"/>
            <family val="2"/>
          </rPr>
          <t xml:space="preserve">
Fator Acidentário de Prevenção (particular de cada empresa)</t>
        </r>
      </text>
    </comment>
    <comment ref="G59" authorId="0" shapeId="0">
      <text>
        <r>
          <rPr>
            <b/>
            <sz val="9"/>
            <color indexed="81"/>
            <rFont val="Tahoma"/>
            <family val="2"/>
          </rPr>
          <t>CAPP:</t>
        </r>
        <r>
          <rPr>
            <sz val="9"/>
            <color indexed="81"/>
            <rFont val="Tahoma"/>
            <family val="2"/>
          </rPr>
          <t xml:space="preserve">
vai de 0,5000 até 2,0000</t>
        </r>
      </text>
    </comment>
  </commentList>
</comments>
</file>

<file path=xl/comments2.xml><?xml version="1.0" encoding="utf-8"?>
<comments xmlns="http://schemas.openxmlformats.org/spreadsheetml/2006/main">
  <authors>
    <author>Oscar Emil Soares</author>
  </authors>
  <commentList>
    <comment ref="D59" authorId="0" shapeId="0">
      <text>
        <r>
          <rPr>
            <b/>
            <sz val="9"/>
            <color indexed="81"/>
            <rFont val="Tahoma"/>
            <family val="2"/>
          </rPr>
          <t>CAPP:</t>
        </r>
        <r>
          <rPr>
            <sz val="9"/>
            <color indexed="81"/>
            <rFont val="Tahoma"/>
            <family val="2"/>
          </rPr>
          <t xml:space="preserve">
Riscos Ambientais do Trabalho = 1%, 2% ou 3%. Depende do CNAE (Classificação Nacional de Atividade Econômica) da empresa.</t>
        </r>
      </text>
    </comment>
    <comment ref="F59" authorId="0" shapeId="0">
      <text>
        <r>
          <rPr>
            <b/>
            <sz val="9"/>
            <color indexed="81"/>
            <rFont val="Tahoma"/>
            <family val="2"/>
          </rPr>
          <t>CAPP:</t>
        </r>
        <r>
          <rPr>
            <sz val="9"/>
            <color indexed="81"/>
            <rFont val="Tahoma"/>
            <family val="2"/>
          </rPr>
          <t xml:space="preserve">
Fator Acidentário de Prevenção (particular de cada empresa)</t>
        </r>
      </text>
    </comment>
    <comment ref="G59" authorId="0" shapeId="0">
      <text>
        <r>
          <rPr>
            <b/>
            <sz val="9"/>
            <color indexed="81"/>
            <rFont val="Tahoma"/>
            <family val="2"/>
          </rPr>
          <t>CAPP:</t>
        </r>
        <r>
          <rPr>
            <sz val="9"/>
            <color indexed="81"/>
            <rFont val="Tahoma"/>
            <family val="2"/>
          </rPr>
          <t xml:space="preserve">
vai de 0,5000 até 2,0000</t>
        </r>
      </text>
    </comment>
  </commentList>
</comments>
</file>

<file path=xl/sharedStrings.xml><?xml version="1.0" encoding="utf-8"?>
<sst xmlns="http://schemas.openxmlformats.org/spreadsheetml/2006/main" count="172" uniqueCount="88">
  <si>
    <t>Item de custo</t>
  </si>
  <si>
    <t>custo/km</t>
  </si>
  <si>
    <t>Diesel</t>
  </si>
  <si>
    <t>Manutenção geral</t>
  </si>
  <si>
    <t>Salário motorista+encargos</t>
  </si>
  <si>
    <t>R$</t>
  </si>
  <si>
    <t>lubrificação mensal</t>
  </si>
  <si>
    <t>Planilha de custos</t>
  </si>
  <si>
    <t>valor R$</t>
  </si>
  <si>
    <t>Custo aquisição máquina</t>
  </si>
  <si>
    <t>Base cálculo para depreciação</t>
  </si>
  <si>
    <t>Vida útil e valor depreciação mês</t>
  </si>
  <si>
    <t>Depreciação</t>
  </si>
  <si>
    <t>Custo de oportunidade ano/mês</t>
  </si>
  <si>
    <t>Custo de oportunidade mês</t>
  </si>
  <si>
    <t>Sub-total</t>
  </si>
  <si>
    <t>Tributos incidentes sobre a nota</t>
  </si>
  <si>
    <t>Custos indiretos</t>
  </si>
  <si>
    <t xml:space="preserve">Lucro </t>
  </si>
  <si>
    <t>produtividade/km</t>
  </si>
  <si>
    <t>kms rodados por mês</t>
  </si>
  <si>
    <t>Custo direto por km</t>
  </si>
  <si>
    <t>Total final do preço por km</t>
  </si>
  <si>
    <t>Seguro passageiros-mensal</t>
  </si>
  <si>
    <t>Pneus 4</t>
  </si>
  <si>
    <t>4.1</t>
  </si>
  <si>
    <t>Encargos Previdenciários e FGTS</t>
  </si>
  <si>
    <t>Percentual (%)</t>
  </si>
  <si>
    <t>Valor (R$)</t>
  </si>
  <si>
    <t>A</t>
  </si>
  <si>
    <t>INSS</t>
  </si>
  <si>
    <t>B</t>
  </si>
  <si>
    <t>SESI ou SESC</t>
  </si>
  <si>
    <t>C</t>
  </si>
  <si>
    <t>SENAI ou SENAC</t>
  </si>
  <si>
    <t>D</t>
  </si>
  <si>
    <t>INCRA</t>
  </si>
  <si>
    <t>E</t>
  </si>
  <si>
    <t>Salário educação</t>
  </si>
  <si>
    <t>F</t>
  </si>
  <si>
    <t>FGTS</t>
  </si>
  <si>
    <t>G</t>
  </si>
  <si>
    <r>
      <t xml:space="preserve">Seguro Acidente de Trabalho =                          SAT = (RAT x FAP)
</t>
    </r>
    <r>
      <rPr>
        <sz val="10"/>
        <color indexed="10"/>
        <rFont val="Arial"/>
        <family val="2"/>
      </rPr>
      <t>SAT =</t>
    </r>
    <r>
      <rPr>
        <b/>
        <sz val="10"/>
        <color indexed="10"/>
        <rFont val="Arial"/>
        <family val="2"/>
      </rPr>
      <t xml:space="preserve"> </t>
    </r>
    <r>
      <rPr>
        <b/>
        <sz val="8"/>
        <color indexed="10"/>
        <rFont val="Arial"/>
        <family val="2"/>
      </rPr>
      <t>( %Riscos Ambientais do Trabalho x Fator Acidentário de Prevenção de cada empresa )</t>
    </r>
  </si>
  <si>
    <t>RAT =</t>
  </si>
  <si>
    <t xml:space="preserve"> FAP =</t>
  </si>
  <si>
    <t>H</t>
  </si>
  <si>
    <t>SEBRAE</t>
  </si>
  <si>
    <t>TOTAL</t>
  </si>
  <si>
    <t>Insalubridade</t>
  </si>
  <si>
    <t>Vale transporte</t>
  </si>
  <si>
    <t>Vale alimentação</t>
  </si>
  <si>
    <t>Custo total remuneração</t>
  </si>
  <si>
    <t>Provisão 13º salário</t>
  </si>
  <si>
    <t>Provisão férias</t>
  </si>
  <si>
    <t>Custo total mensal com provisões</t>
  </si>
  <si>
    <t>Custo base para encargos</t>
  </si>
  <si>
    <t>Custo base funcionário</t>
  </si>
  <si>
    <t>índice de incidência ref. Utilização funcionário no contrato do município</t>
  </si>
  <si>
    <t>Detalhamento da Composição dos salários</t>
  </si>
  <si>
    <t>Custo total salárial</t>
  </si>
  <si>
    <t>DECLARAÇÕES QUE A EMPRESA LICITANTE DEVE FAZER:</t>
  </si>
  <si>
    <t>A empresa é otante pelo seguinte regime de tributação e recolhe, atualmente, as seguintes alíquotas de tributos:</t>
  </si>
  <si>
    <t>(     ) a) Lucro presumido, recolhendo: Cofins (       %); Pis (       %); IRPJ (        %); CSLL (       %). Após contratar com a prefeitura manterá estas alíquotas; (caso ocorrer alteração nas alíquotas, as mesmas serão as seguintes .......</t>
  </si>
  <si>
    <t>(     ) b) Lucro real, recolhendo: Cofins (       %); Pis (       %); IRPJ (        %); CSLL (       %). Após contratar com a prefeitura manterá estas alíquotas; (caso ocorrer alteração nas alíquotas, as mesmas serão as seguintes .......</t>
  </si>
  <si>
    <t>(     ) c) Simples nacional, recolhendo a alíquota atual de (       %), estando enquandrado no anexo (        );  Com este contrato a empresa passará a recolher aliquota (        %) e passará para o anexo (        ), não se desenquadrará do simples nacional. (OU) Após assinatura do contrato a empresa se descredenciará do simples e passará para a tributação do ..................</t>
  </si>
  <si>
    <t>Observação:</t>
  </si>
  <si>
    <t>Cada empresa é responsável por incluir em sua planilha de custos, os enquadramentos tributários, trabalhistas e previdenciários, de acordo com a realidade tributária e funcional de seu quadro de funcionários. Desta forma, a planilha de custos disponibilizada pela prefeitura representa, apenas, um MODELO REFERENCIAL, e que impõe um limite máximo de valores para a proposta apresentada.</t>
  </si>
  <si>
    <t>Destaca-se, que cada empresa possui a sua realidade tributária e funcional, o município não tem como prever todas as possibilidades de enquadramento funcionais, que são baseadas em acordos sindicais e na legislação trabalhista como um todo.</t>
  </si>
  <si>
    <t>Além disso, para cada cargo ou ambiente de trabalho funcional, alteram-se as condições e enquadramentos, como por exemplo: de insalubridade e EPI (depende do laudo de condições ambientais de trabalho para cada cargo e para cada local de trabalho); Situação de enquadramento tributária e previdenciária (se a empresa é optante pelo simples nacional, lucro presumido ou lucro real);</t>
  </si>
  <si>
    <t>Por fim, as condições e regras de trabalho também são disciplinadas pelos acordos coletivos de trabalho, os quais, a empresa deve observar.</t>
  </si>
  <si>
    <t>Portanto, baseado nestes aspectos, cabe a empresa identificar quais os enquadramentos trabalhistas e tributários corretos para a situação licitada. Ao final do pleito licitatório, ou mesmo, no decorrer da execução contratual, se o município verificar, por meio de recursos à licitação ou denúncias recebidas durante a execução contratual, que no momento da elaboração da proposta e da planilha de custos final, a empresa apresentou um item de custos (na planilha de custos final) diferente do que é exigido na convenção coletiva sindical ou em qualquer legislação trabalhista, visando reduzir o valor de sua proposta financeira, o município poderá considerar tal fato, como uso de má fé por parte da empresa.</t>
  </si>
  <si>
    <t>Assim, com esta prova de má fé por parte do licitante, o município poderá desabilitar a empresa durante o processo licitatório, ou mesmo, rescindir o contrato em vigor, pelo bem do serviço público.</t>
  </si>
  <si>
    <t>Como no Brasil existem muitos sindicatos, cabe a empresa apontar em qual dissídio e sindicato, seus colaboradores serão enquadrados, observando-se as regras dos mesmos.</t>
  </si>
  <si>
    <t>kms rodados por dia</t>
  </si>
  <si>
    <t xml:space="preserve">dias por mês </t>
  </si>
  <si>
    <t>Valor residual 20%</t>
  </si>
  <si>
    <t>Pneus 6</t>
  </si>
  <si>
    <t>IPVA/DPVAT anual e outros custos</t>
  </si>
  <si>
    <t>Salário base cfe convenção coletiva para 220 hs</t>
  </si>
  <si>
    <t>Salário base para 200 horas</t>
  </si>
  <si>
    <t>Desconto alimentação cfe cct</t>
  </si>
  <si>
    <t>Desconto transporte</t>
  </si>
  <si>
    <t>kms rodados por hora/média</t>
  </si>
  <si>
    <t>Horas por dia úteis de viagem</t>
  </si>
  <si>
    <t>Cofins 3%; Pis 0,65%; ISSQN 0%</t>
  </si>
  <si>
    <t>ICMS 12%</t>
  </si>
  <si>
    <t>onibus 44 lugares transporte</t>
  </si>
  <si>
    <t>van 7 lugares transporte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</si>
</sst>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-;\-* #,##0.00_-;_-* &quot;-&quot;??_-;_-@_-"/>
    <numFmt numFmtId="165" formatCode="_(* #,##0.00_);_(* \(#,##0.00\);_(* &quot;-&quot;??_);_(@_)"/>
    <numFmt numFmtId="166" formatCode="0.0000"/>
    <numFmt numFmtId="167" formatCode="0.0000%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1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b/>
      <sz val="8"/>
      <color indexed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indexed="8"/>
      <name val="Calibri"/>
      <family val="2"/>
      <charset val="1"/>
    </font>
    <font>
      <b/>
      <sz val="11"/>
      <color indexed="8"/>
      <name val="Calibri"/>
      <family val="2"/>
    </font>
    <font>
      <sz val="10"/>
      <color rgb="FF000000"/>
      <name val="Times New Roman"/>
      <family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indexed="9"/>
        <bgColor indexed="26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0" fillId="0" borderId="0"/>
  </cellStyleXfs>
  <cellXfs count="60">
    <xf numFmtId="0" fontId="0" fillId="0" borderId="0" xfId="0"/>
    <xf numFmtId="0" fontId="3" fillId="0" borderId="1" xfId="0" applyFont="1" applyBorder="1" applyAlignment="1">
      <alignment horizontal="center"/>
    </xf>
    <xf numFmtId="0" fontId="0" fillId="0" borderId="1" xfId="0" applyBorder="1"/>
    <xf numFmtId="164" fontId="0" fillId="0" borderId="1" xfId="1" applyFont="1" applyBorder="1"/>
    <xf numFmtId="0" fontId="3" fillId="0" borderId="1" xfId="0" applyFont="1" applyBorder="1"/>
    <xf numFmtId="165" fontId="3" fillId="0" borderId="1" xfId="0" applyNumberFormat="1" applyFont="1" applyBorder="1"/>
    <xf numFmtId="0" fontId="3" fillId="0" borderId="0" xfId="0" applyFont="1" applyAlignment="1">
      <alignment horizontal="center"/>
    </xf>
    <xf numFmtId="164" fontId="3" fillId="0" borderId="0" xfId="1" applyFont="1" applyAlignment="1">
      <alignment horizontal="center"/>
    </xf>
    <xf numFmtId="164" fontId="3" fillId="0" borderId="0" xfId="0" applyNumberFormat="1" applyFont="1" applyAlignment="1">
      <alignment horizontal="center"/>
    </xf>
    <xf numFmtId="164" fontId="0" fillId="0" borderId="1" xfId="0" applyNumberFormat="1" applyBorder="1"/>
    <xf numFmtId="0" fontId="2" fillId="0" borderId="0" xfId="0" applyFont="1"/>
    <xf numFmtId="9" fontId="0" fillId="0" borderId="1" xfId="0" applyNumberFormat="1" applyBorder="1"/>
    <xf numFmtId="0" fontId="2" fillId="0" borderId="1" xfId="0" applyFont="1" applyBorder="1"/>
    <xf numFmtId="164" fontId="2" fillId="0" borderId="1" xfId="0" applyNumberFormat="1" applyFont="1" applyBorder="1"/>
    <xf numFmtId="10" fontId="0" fillId="0" borderId="1" xfId="0" applyNumberFormat="1" applyBorder="1"/>
    <xf numFmtId="10" fontId="3" fillId="0" borderId="0" xfId="0" applyNumberFormat="1" applyFont="1" applyAlignment="1">
      <alignment horizontal="center"/>
    </xf>
    <xf numFmtId="164" fontId="0" fillId="0" borderId="0" xfId="0" applyNumberFormat="1"/>
    <xf numFmtId="0" fontId="4" fillId="2" borderId="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10" fontId="3" fillId="3" borderId="1" xfId="0" applyNumberFormat="1" applyFont="1" applyFill="1" applyBorder="1" applyAlignment="1">
      <alignment horizontal="right" vertical="center"/>
    </xf>
    <xf numFmtId="4" fontId="3" fillId="0" borderId="1" xfId="0" applyNumberFormat="1" applyFont="1" applyFill="1" applyBorder="1" applyAlignment="1">
      <alignment horizontal="right" vertical="center"/>
    </xf>
    <xf numFmtId="10" fontId="3" fillId="0" borderId="1" xfId="0" applyNumberFormat="1" applyFont="1" applyFill="1" applyBorder="1" applyAlignment="1">
      <alignment horizontal="right" vertical="center"/>
    </xf>
    <xf numFmtId="0" fontId="3" fillId="0" borderId="1" xfId="0" applyFont="1" applyBorder="1" applyAlignment="1">
      <alignment horizontal="right" vertical="center" wrapText="1"/>
    </xf>
    <xf numFmtId="9" fontId="3" fillId="3" borderId="1" xfId="0" applyNumberFormat="1" applyFont="1" applyFill="1" applyBorder="1" applyAlignment="1">
      <alignment horizontal="center" vertical="center" wrapText="1"/>
    </xf>
    <xf numFmtId="166" fontId="3" fillId="3" borderId="1" xfId="0" applyNumberFormat="1" applyFont="1" applyFill="1" applyBorder="1" applyAlignment="1">
      <alignment horizontal="center" vertical="center" wrapText="1"/>
    </xf>
    <xf numFmtId="167" fontId="3" fillId="0" borderId="1" xfId="0" applyNumberFormat="1" applyFont="1" applyBorder="1" applyAlignment="1">
      <alignment horizontal="right" vertical="center"/>
    </xf>
    <xf numFmtId="167" fontId="3" fillId="2" borderId="1" xfId="0" applyNumberFormat="1" applyFont="1" applyFill="1" applyBorder="1" applyAlignment="1">
      <alignment horizontal="right" vertical="center"/>
    </xf>
    <xf numFmtId="4" fontId="3" fillId="2" borderId="1" xfId="0" applyNumberFormat="1" applyFont="1" applyFill="1" applyBorder="1" applyAlignment="1">
      <alignment horizontal="right" vertical="center"/>
    </xf>
    <xf numFmtId="164" fontId="2" fillId="0" borderId="0" xfId="0" applyNumberFormat="1" applyFont="1"/>
    <xf numFmtId="164" fontId="2" fillId="0" borderId="1" xfId="1" applyFont="1" applyBorder="1"/>
    <xf numFmtId="0" fontId="2" fillId="0" borderId="1" xfId="0" applyFont="1" applyBorder="1" applyAlignment="1">
      <alignment horizontal="right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3" fillId="0" borderId="0" xfId="0" applyFont="1" applyAlignment="1">
      <alignment horizontal="center"/>
    </xf>
    <xf numFmtId="0" fontId="11" fillId="4" borderId="0" xfId="2" applyFont="1" applyFill="1"/>
    <xf numFmtId="0" fontId="10" fillId="4" borderId="0" xfId="2" applyFill="1"/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12" fillId="0" borderId="0" xfId="0" applyNumberFormat="1" applyFont="1" applyFill="1" applyBorder="1" applyAlignment="1">
      <alignment horizontal="left" vertical="top"/>
    </xf>
    <xf numFmtId="0" fontId="13" fillId="0" borderId="0" xfId="0" applyFont="1" applyAlignment="1">
      <alignment horizontal="left"/>
    </xf>
    <xf numFmtId="9" fontId="0" fillId="0" borderId="1" xfId="1" applyNumberFormat="1" applyFont="1" applyBorder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0" fillId="0" borderId="0" xfId="0" applyAlignment="1">
      <alignment horizontal="center" wrapText="1"/>
    </xf>
    <xf numFmtId="0" fontId="3" fillId="2" borderId="2" xfId="0" applyFont="1" applyFill="1" applyBorder="1" applyAlignment="1">
      <alignment horizontal="right" vertical="center"/>
    </xf>
    <xf numFmtId="0" fontId="0" fillId="2" borderId="3" xfId="0" applyFill="1" applyBorder="1" applyAlignment="1">
      <alignment horizontal="right" vertical="center"/>
    </xf>
    <xf numFmtId="0" fontId="0" fillId="2" borderId="4" xfId="0" applyFill="1" applyBorder="1" applyAlignment="1">
      <alignment horizontal="right" vertical="center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</cellXfs>
  <cellStyles count="3">
    <cellStyle name="Excel Built-in Normal" xfId="2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33</xdr:row>
      <xdr:rowOff>0</xdr:rowOff>
    </xdr:from>
    <xdr:to>
      <xdr:col>4</xdr:col>
      <xdr:colOff>472441</xdr:colOff>
      <xdr:row>36</xdr:row>
      <xdr:rowOff>320040</xdr:rowOff>
    </xdr:to>
    <xdr:pic>
      <xdr:nvPicPr>
        <xdr:cNvPr id="3" name="Imagem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6035040"/>
          <a:ext cx="5433060" cy="86868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34</xdr:row>
      <xdr:rowOff>0</xdr:rowOff>
    </xdr:from>
    <xdr:to>
      <xdr:col>6</xdr:col>
      <xdr:colOff>213360</xdr:colOff>
      <xdr:row>37</xdr:row>
      <xdr:rowOff>15240</xdr:rowOff>
    </xdr:to>
    <xdr:pic>
      <xdr:nvPicPr>
        <xdr:cNvPr id="3" name="Imagem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6217920"/>
          <a:ext cx="6515100" cy="76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83"/>
  <sheetViews>
    <sheetView tabSelected="1" workbookViewId="0">
      <selection activeCell="B23" sqref="B23"/>
    </sheetView>
  </sheetViews>
  <sheetFormatPr defaultRowHeight="14.4" x14ac:dyDescent="0.3"/>
  <cols>
    <col min="1" max="1" width="32.33203125" bestFit="1" customWidth="1"/>
    <col min="2" max="2" width="11.33203125" bestFit="1" customWidth="1"/>
    <col min="3" max="3" width="17" bestFit="1" customWidth="1"/>
    <col min="4" max="4" width="11.6640625" customWidth="1"/>
    <col min="5" max="5" width="10.6640625" customWidth="1"/>
    <col min="8" max="8" width="9.88671875" customWidth="1"/>
    <col min="9" max="9" width="9.5546875" bestFit="1" customWidth="1"/>
  </cols>
  <sheetData>
    <row r="1" spans="1:6" x14ac:dyDescent="0.3">
      <c r="A1" s="44" t="s">
        <v>7</v>
      </c>
      <c r="B1" s="44"/>
      <c r="C1" s="44"/>
      <c r="D1" s="44"/>
      <c r="E1" s="44"/>
      <c r="F1" s="44"/>
    </row>
    <row r="2" spans="1:6" x14ac:dyDescent="0.3">
      <c r="A2" s="6"/>
      <c r="B2" s="6"/>
      <c r="C2" s="6"/>
      <c r="D2" s="6"/>
      <c r="E2" s="6"/>
      <c r="F2" s="6"/>
    </row>
    <row r="3" spans="1:6" x14ac:dyDescent="0.3">
      <c r="A3" s="42"/>
      <c r="B3" s="43" t="s">
        <v>83</v>
      </c>
      <c r="C3" s="42"/>
      <c r="D3" s="42">
        <v>7</v>
      </c>
      <c r="E3" s="42"/>
      <c r="F3" s="42"/>
    </row>
    <row r="4" spans="1:6" x14ac:dyDescent="0.3">
      <c r="A4" s="42"/>
      <c r="B4" s="43" t="s">
        <v>82</v>
      </c>
      <c r="C4" s="42"/>
      <c r="D4" s="42">
        <v>50</v>
      </c>
      <c r="E4" s="42"/>
      <c r="F4" s="42"/>
    </row>
    <row r="5" spans="1:6" x14ac:dyDescent="0.3">
      <c r="A5" s="34"/>
      <c r="B5" s="40" t="s">
        <v>73</v>
      </c>
      <c r="C5" s="34"/>
      <c r="D5" s="34">
        <f>D3*D4</f>
        <v>350</v>
      </c>
      <c r="E5" s="34"/>
      <c r="F5" s="34"/>
    </row>
    <row r="6" spans="1:6" x14ac:dyDescent="0.3">
      <c r="A6" s="34"/>
      <c r="B6" s="40" t="s">
        <v>74</v>
      </c>
      <c r="C6" s="34"/>
      <c r="D6" s="34">
        <v>20</v>
      </c>
      <c r="E6" s="34"/>
      <c r="F6" s="34"/>
    </row>
    <row r="7" spans="1:6" x14ac:dyDescent="0.3">
      <c r="A7" s="10" t="s">
        <v>87</v>
      </c>
      <c r="B7" t="s">
        <v>20</v>
      </c>
      <c r="D7">
        <f>D5*D6</f>
        <v>7000</v>
      </c>
    </row>
    <row r="9" spans="1:6" x14ac:dyDescent="0.3">
      <c r="A9" s="6" t="s">
        <v>9</v>
      </c>
      <c r="B9" s="7">
        <v>180000</v>
      </c>
      <c r="C9" s="6"/>
      <c r="D9" s="6"/>
      <c r="E9" s="6"/>
      <c r="F9" s="6"/>
    </row>
    <row r="10" spans="1:6" x14ac:dyDescent="0.3">
      <c r="A10" s="6" t="s">
        <v>75</v>
      </c>
      <c r="B10" s="7">
        <f>B9*20%</f>
        <v>36000</v>
      </c>
      <c r="C10" s="6"/>
      <c r="D10" s="6"/>
      <c r="E10" s="6"/>
      <c r="F10" s="6"/>
    </row>
    <row r="11" spans="1:6" x14ac:dyDescent="0.3">
      <c r="A11" s="6" t="s">
        <v>10</v>
      </c>
      <c r="B11" s="7">
        <f>B9-B10</f>
        <v>144000</v>
      </c>
      <c r="C11" s="6"/>
      <c r="D11" s="6"/>
      <c r="E11" s="6"/>
      <c r="F11" s="6"/>
    </row>
    <row r="12" spans="1:6" x14ac:dyDescent="0.3">
      <c r="A12" s="6" t="s">
        <v>11</v>
      </c>
      <c r="B12" s="7">
        <v>60</v>
      </c>
      <c r="C12" s="7">
        <f>B11/B12</f>
        <v>2400</v>
      </c>
      <c r="D12" s="6"/>
      <c r="E12" s="6"/>
      <c r="F12" s="6"/>
    </row>
    <row r="13" spans="1:6" x14ac:dyDescent="0.3">
      <c r="A13" s="6" t="s">
        <v>13</v>
      </c>
      <c r="B13" s="15">
        <v>0.15</v>
      </c>
      <c r="C13" s="8">
        <f>B9*B13/12</f>
        <v>2250</v>
      </c>
      <c r="D13" s="6"/>
      <c r="E13" s="6"/>
      <c r="F13" s="6"/>
    </row>
    <row r="15" spans="1:6" x14ac:dyDescent="0.3">
      <c r="A15" s="1" t="s">
        <v>0</v>
      </c>
      <c r="B15" s="1" t="s">
        <v>8</v>
      </c>
      <c r="C15" s="1" t="s">
        <v>19</v>
      </c>
      <c r="D15" s="1" t="s">
        <v>1</v>
      </c>
    </row>
    <row r="16" spans="1:6" x14ac:dyDescent="0.3">
      <c r="A16" s="2" t="s">
        <v>2</v>
      </c>
      <c r="B16" s="2">
        <v>6</v>
      </c>
      <c r="C16" s="2">
        <v>5</v>
      </c>
      <c r="D16" s="3">
        <f t="shared" ref="D16:D22" si="0">B16/C16</f>
        <v>1.2</v>
      </c>
    </row>
    <row r="17" spans="1:4" x14ac:dyDescent="0.3">
      <c r="A17" s="2" t="s">
        <v>6</v>
      </c>
      <c r="B17" s="3">
        <v>500</v>
      </c>
      <c r="C17" s="2">
        <f>D7</f>
        <v>7000</v>
      </c>
      <c r="D17" s="3">
        <f t="shared" si="0"/>
        <v>7.1428571428571425E-2</v>
      </c>
    </row>
    <row r="18" spans="1:4" x14ac:dyDescent="0.3">
      <c r="A18" s="2" t="s">
        <v>77</v>
      </c>
      <c r="B18" s="3">
        <f>B9*2%</f>
        <v>3600</v>
      </c>
      <c r="C18" s="2">
        <f>C17*12</f>
        <v>84000</v>
      </c>
      <c r="D18" s="3">
        <f t="shared" si="0"/>
        <v>4.2857142857142858E-2</v>
      </c>
    </row>
    <row r="19" spans="1:4" x14ac:dyDescent="0.3">
      <c r="A19" s="2" t="s">
        <v>3</v>
      </c>
      <c r="B19" s="3">
        <v>600</v>
      </c>
      <c r="C19" s="2">
        <f>C17</f>
        <v>7000</v>
      </c>
      <c r="D19" s="3">
        <f t="shared" si="0"/>
        <v>8.5714285714285715E-2</v>
      </c>
    </row>
    <row r="20" spans="1:4" x14ac:dyDescent="0.3">
      <c r="A20" s="2" t="s">
        <v>24</v>
      </c>
      <c r="B20" s="3">
        <f>4*950</f>
        <v>3800</v>
      </c>
      <c r="C20" s="2">
        <v>70000</v>
      </c>
      <c r="D20" s="3">
        <f t="shared" si="0"/>
        <v>5.4285714285714284E-2</v>
      </c>
    </row>
    <row r="21" spans="1:4" x14ac:dyDescent="0.3">
      <c r="A21" s="2" t="s">
        <v>23</v>
      </c>
      <c r="B21" s="3">
        <v>300</v>
      </c>
      <c r="C21" s="2">
        <f>C19</f>
        <v>7000</v>
      </c>
      <c r="D21" s="3">
        <f t="shared" si="0"/>
        <v>4.2857142857142858E-2</v>
      </c>
    </row>
    <row r="22" spans="1:4" x14ac:dyDescent="0.3">
      <c r="A22" s="2" t="s">
        <v>4</v>
      </c>
      <c r="B22" s="3">
        <f>I64</f>
        <v>5169.5414141414149</v>
      </c>
      <c r="C22" s="2">
        <f>C19</f>
        <v>7000</v>
      </c>
      <c r="D22" s="3">
        <f t="shared" si="0"/>
        <v>0.73850591630591644</v>
      </c>
    </row>
    <row r="23" spans="1:4" x14ac:dyDescent="0.3">
      <c r="A23" s="2" t="s">
        <v>12</v>
      </c>
      <c r="B23" s="3">
        <f>C12</f>
        <v>2400</v>
      </c>
      <c r="C23" s="2">
        <f>C22</f>
        <v>7000</v>
      </c>
      <c r="D23" s="3">
        <f t="shared" ref="D23:D24" si="1">B23/C23</f>
        <v>0.34285714285714286</v>
      </c>
    </row>
    <row r="24" spans="1:4" x14ac:dyDescent="0.3">
      <c r="A24" s="2" t="s">
        <v>14</v>
      </c>
      <c r="B24" s="9">
        <f>C13</f>
        <v>2250</v>
      </c>
      <c r="C24" s="2">
        <f>C23</f>
        <v>7000</v>
      </c>
      <c r="D24" s="3">
        <f t="shared" si="1"/>
        <v>0.32142857142857145</v>
      </c>
    </row>
    <row r="25" spans="1:4" x14ac:dyDescent="0.3">
      <c r="A25" s="4" t="s">
        <v>21</v>
      </c>
      <c r="B25" s="4"/>
      <c r="C25" s="4" t="s">
        <v>5</v>
      </c>
      <c r="D25" s="5">
        <f>SUM(D16:D24)</f>
        <v>2.8999344877344884</v>
      </c>
    </row>
    <row r="27" spans="1:4" x14ac:dyDescent="0.3">
      <c r="A27" s="2" t="s">
        <v>17</v>
      </c>
      <c r="B27" s="2"/>
      <c r="C27" s="11">
        <v>0.15</v>
      </c>
      <c r="D27" s="9">
        <f>D25*C27</f>
        <v>0.43499017316017324</v>
      </c>
    </row>
    <row r="28" spans="1:4" x14ac:dyDescent="0.3">
      <c r="A28" s="2" t="s">
        <v>18</v>
      </c>
      <c r="B28" s="2"/>
      <c r="C28" s="11">
        <v>0.15</v>
      </c>
      <c r="D28" s="9">
        <f>D25*C28</f>
        <v>0.43499017316017324</v>
      </c>
    </row>
    <row r="29" spans="1:4" x14ac:dyDescent="0.3">
      <c r="A29" s="12" t="s">
        <v>15</v>
      </c>
      <c r="B29" s="12"/>
      <c r="C29" s="12"/>
      <c r="D29" s="13">
        <f>D28+D27+D25</f>
        <v>3.769914834054835</v>
      </c>
    </row>
    <row r="30" spans="1:4" x14ac:dyDescent="0.3">
      <c r="A30" s="2" t="s">
        <v>16</v>
      </c>
      <c r="B30" s="2"/>
      <c r="C30" s="14">
        <v>3.6499999999999998E-2</v>
      </c>
      <c r="D30" s="9">
        <f>D29*C30</f>
        <v>0.13760189144300147</v>
      </c>
    </row>
    <row r="31" spans="1:4" x14ac:dyDescent="0.3">
      <c r="A31" s="2" t="s">
        <v>84</v>
      </c>
      <c r="B31" s="2"/>
      <c r="C31" s="11"/>
      <c r="D31" s="9"/>
    </row>
    <row r="32" spans="1:4" x14ac:dyDescent="0.3">
      <c r="A32" s="2" t="s">
        <v>85</v>
      </c>
      <c r="B32" s="2"/>
      <c r="C32" s="11">
        <v>0.12</v>
      </c>
      <c r="D32" s="9">
        <f>D29*C32</f>
        <v>0.45238978008658015</v>
      </c>
    </row>
    <row r="33" spans="1:9" x14ac:dyDescent="0.3">
      <c r="A33" s="12" t="s">
        <v>22</v>
      </c>
      <c r="B33" s="12"/>
      <c r="C33" s="12"/>
      <c r="D33" s="13">
        <f>D29+D30+D32</f>
        <v>4.3599065055844166</v>
      </c>
    </row>
    <row r="37" spans="1:9" ht="31.5" customHeight="1" x14ac:dyDescent="0.3">
      <c r="A37" s="51"/>
      <c r="B37" s="51"/>
      <c r="C37" s="51"/>
      <c r="D37" s="51"/>
      <c r="E37" s="51"/>
      <c r="F37" s="51"/>
      <c r="G37" s="51"/>
      <c r="H37" s="51"/>
      <c r="I37" s="51"/>
    </row>
    <row r="38" spans="1:9" x14ac:dyDescent="0.3">
      <c r="A38" s="10" t="s">
        <v>58</v>
      </c>
      <c r="D38" s="16"/>
    </row>
    <row r="39" spans="1:9" x14ac:dyDescent="0.3">
      <c r="A39" s="12" t="s">
        <v>78</v>
      </c>
      <c r="B39" s="2"/>
      <c r="C39" s="3">
        <v>2700.26</v>
      </c>
      <c r="D39" s="9">
        <v>220</v>
      </c>
    </row>
    <row r="40" spans="1:9" x14ac:dyDescent="0.3">
      <c r="A40" s="2" t="s">
        <v>79</v>
      </c>
      <c r="B40" s="2"/>
      <c r="C40" s="3">
        <f>C39/D39*200</f>
        <v>2454.7818181818184</v>
      </c>
      <c r="D40" s="9"/>
    </row>
    <row r="41" spans="1:9" x14ac:dyDescent="0.3">
      <c r="A41" s="2" t="s">
        <v>48</v>
      </c>
      <c r="B41" s="11">
        <v>0.2</v>
      </c>
      <c r="C41" s="9">
        <f>C40*B41</f>
        <v>490.95636363636368</v>
      </c>
      <c r="D41" s="2"/>
    </row>
    <row r="42" spans="1:9" x14ac:dyDescent="0.3">
      <c r="A42" s="31" t="s">
        <v>56</v>
      </c>
      <c r="B42" s="11"/>
      <c r="C42" s="9"/>
      <c r="D42" s="13">
        <f>C41+C40</f>
        <v>2945.7381818181821</v>
      </c>
    </row>
    <row r="43" spans="1:9" x14ac:dyDescent="0.3">
      <c r="A43" s="2" t="s">
        <v>49</v>
      </c>
      <c r="B43" s="2">
        <v>20</v>
      </c>
      <c r="C43" s="3">
        <v>9.4</v>
      </c>
      <c r="D43" s="3">
        <f>C43*B43</f>
        <v>188</v>
      </c>
    </row>
    <row r="44" spans="1:9" x14ac:dyDescent="0.3">
      <c r="A44" s="2" t="s">
        <v>50</v>
      </c>
      <c r="B44" s="2">
        <v>1</v>
      </c>
      <c r="C44" s="3">
        <f>35*20</f>
        <v>700</v>
      </c>
      <c r="D44" s="3">
        <f>B44*C44</f>
        <v>700</v>
      </c>
    </row>
    <row r="45" spans="1:9" x14ac:dyDescent="0.3">
      <c r="A45" s="2" t="s">
        <v>80</v>
      </c>
      <c r="B45" s="2"/>
      <c r="C45" s="41">
        <v>0.2</v>
      </c>
      <c r="D45" s="3">
        <f>-D44*C45</f>
        <v>-140</v>
      </c>
    </row>
    <row r="46" spans="1:9" x14ac:dyDescent="0.3">
      <c r="A46" s="2" t="s">
        <v>81</v>
      </c>
      <c r="B46" s="2"/>
      <c r="C46" s="41">
        <v>0.06</v>
      </c>
      <c r="D46" s="3">
        <f>-C40*C46</f>
        <v>-147.28690909090909</v>
      </c>
    </row>
    <row r="47" spans="1:9" x14ac:dyDescent="0.3">
      <c r="A47" s="12" t="s">
        <v>51</v>
      </c>
      <c r="B47" s="12"/>
      <c r="C47" s="12"/>
      <c r="D47" s="13">
        <f>SUM(D42:D46)</f>
        <v>3546.4512727272731</v>
      </c>
    </row>
    <row r="48" spans="1:9" x14ac:dyDescent="0.3">
      <c r="A48" s="2" t="s">
        <v>52</v>
      </c>
      <c r="B48" s="2"/>
      <c r="C48" s="2"/>
      <c r="D48" s="9">
        <f>D47/12</f>
        <v>295.53760606060609</v>
      </c>
    </row>
    <row r="49" spans="1:9" x14ac:dyDescent="0.3">
      <c r="A49" s="2" t="s">
        <v>53</v>
      </c>
      <c r="B49" s="2"/>
      <c r="C49" s="2"/>
      <c r="D49" s="3">
        <f>(D47/3)/12</f>
        <v>98.51253535353537</v>
      </c>
    </row>
    <row r="50" spans="1:9" x14ac:dyDescent="0.3">
      <c r="A50" s="12" t="s">
        <v>54</v>
      </c>
      <c r="B50" s="12"/>
      <c r="C50" s="12"/>
      <c r="D50" s="30">
        <f>D49+D48+D47</f>
        <v>3940.5014141414144</v>
      </c>
      <c r="E50" s="10" t="s">
        <v>55</v>
      </c>
      <c r="F50" s="10"/>
      <c r="G50" s="10"/>
      <c r="H50" s="10"/>
      <c r="I50" s="29">
        <f>D42+D48+D49</f>
        <v>3339.7883232323234</v>
      </c>
    </row>
    <row r="52" spans="1:9" ht="27.6" x14ac:dyDescent="0.3">
      <c r="A52" s="17" t="s">
        <v>25</v>
      </c>
      <c r="B52" s="45" t="s">
        <v>26</v>
      </c>
      <c r="C52" s="46"/>
      <c r="D52" s="46"/>
      <c r="E52" s="46"/>
      <c r="F52" s="46"/>
      <c r="G52" s="47"/>
      <c r="H52" s="18" t="s">
        <v>27</v>
      </c>
      <c r="I52" s="18" t="s">
        <v>28</v>
      </c>
    </row>
    <row r="53" spans="1:9" x14ac:dyDescent="0.3">
      <c r="A53" s="19" t="s">
        <v>29</v>
      </c>
      <c r="B53" s="48" t="s">
        <v>30</v>
      </c>
      <c r="C53" s="49"/>
      <c r="D53" s="49"/>
      <c r="E53" s="49"/>
      <c r="F53" s="49"/>
      <c r="G53" s="50"/>
      <c r="H53" s="20">
        <v>0.2</v>
      </c>
      <c r="I53" s="21">
        <f>$I$50*H53</f>
        <v>667.95766464646476</v>
      </c>
    </row>
    <row r="54" spans="1:9" x14ac:dyDescent="0.3">
      <c r="A54" s="19" t="s">
        <v>31</v>
      </c>
      <c r="B54" s="48" t="s">
        <v>32</v>
      </c>
      <c r="C54" s="49"/>
      <c r="D54" s="49"/>
      <c r="E54" s="49"/>
      <c r="F54" s="49"/>
      <c r="G54" s="50"/>
      <c r="H54" s="20">
        <v>1.4999999999999999E-2</v>
      </c>
      <c r="I54" s="21">
        <f t="shared" ref="I54:I60" si="2">$I$50*H54</f>
        <v>50.09682484848485</v>
      </c>
    </row>
    <row r="55" spans="1:9" x14ac:dyDescent="0.3">
      <c r="A55" s="19" t="s">
        <v>33</v>
      </c>
      <c r="B55" s="48" t="s">
        <v>34</v>
      </c>
      <c r="C55" s="49"/>
      <c r="D55" s="49"/>
      <c r="E55" s="49"/>
      <c r="F55" s="49"/>
      <c r="G55" s="50"/>
      <c r="H55" s="20">
        <v>0.01</v>
      </c>
      <c r="I55" s="21">
        <f t="shared" si="2"/>
        <v>33.397883232323231</v>
      </c>
    </row>
    <row r="56" spans="1:9" x14ac:dyDescent="0.3">
      <c r="A56" s="19" t="s">
        <v>35</v>
      </c>
      <c r="B56" s="48" t="s">
        <v>36</v>
      </c>
      <c r="C56" s="49"/>
      <c r="D56" s="49"/>
      <c r="E56" s="49"/>
      <c r="F56" s="49"/>
      <c r="G56" s="50"/>
      <c r="H56" s="20">
        <v>2E-3</v>
      </c>
      <c r="I56" s="21">
        <f t="shared" si="2"/>
        <v>6.6795766464646471</v>
      </c>
    </row>
    <row r="57" spans="1:9" x14ac:dyDescent="0.3">
      <c r="A57" s="19" t="s">
        <v>37</v>
      </c>
      <c r="B57" s="55" t="s">
        <v>38</v>
      </c>
      <c r="C57" s="56"/>
      <c r="D57" s="56"/>
      <c r="E57" s="56"/>
      <c r="F57" s="56"/>
      <c r="G57" s="57"/>
      <c r="H57" s="20">
        <v>2.5000000000000001E-2</v>
      </c>
      <c r="I57" s="21">
        <f t="shared" si="2"/>
        <v>83.494708080808095</v>
      </c>
    </row>
    <row r="58" spans="1:9" x14ac:dyDescent="0.3">
      <c r="A58" s="19" t="s">
        <v>39</v>
      </c>
      <c r="B58" s="55" t="s">
        <v>40</v>
      </c>
      <c r="C58" s="56"/>
      <c r="D58" s="56"/>
      <c r="E58" s="56"/>
      <c r="F58" s="56"/>
      <c r="G58" s="57"/>
      <c r="H58" s="22">
        <v>0.08</v>
      </c>
      <c r="I58" s="21">
        <f t="shared" si="2"/>
        <v>267.18306585858585</v>
      </c>
    </row>
    <row r="59" spans="1:9" x14ac:dyDescent="0.3">
      <c r="A59" s="19" t="s">
        <v>41</v>
      </c>
      <c r="B59" s="58" t="s">
        <v>42</v>
      </c>
      <c r="C59" s="59"/>
      <c r="D59" s="23" t="s">
        <v>43</v>
      </c>
      <c r="E59" s="24">
        <v>0.03</v>
      </c>
      <c r="F59" s="23" t="s">
        <v>44</v>
      </c>
      <c r="G59" s="25">
        <v>1</v>
      </c>
      <c r="H59" s="26">
        <f>ROUND((E59*G59),6)</f>
        <v>0.03</v>
      </c>
      <c r="I59" s="21">
        <f t="shared" si="2"/>
        <v>100.1936496969697</v>
      </c>
    </row>
    <row r="60" spans="1:9" x14ac:dyDescent="0.3">
      <c r="A60" s="19" t="s">
        <v>45</v>
      </c>
      <c r="B60" s="55" t="s">
        <v>46</v>
      </c>
      <c r="C60" s="56"/>
      <c r="D60" s="56"/>
      <c r="E60" s="56"/>
      <c r="F60" s="56"/>
      <c r="G60" s="57"/>
      <c r="H60" s="20">
        <v>6.0000000000000001E-3</v>
      </c>
      <c r="I60" s="21">
        <f t="shared" si="2"/>
        <v>20.038729939393942</v>
      </c>
    </row>
    <row r="61" spans="1:9" x14ac:dyDescent="0.3">
      <c r="A61" s="52" t="s">
        <v>47</v>
      </c>
      <c r="B61" s="53"/>
      <c r="C61" s="53"/>
      <c r="D61" s="53"/>
      <c r="E61" s="53"/>
      <c r="F61" s="53"/>
      <c r="G61" s="54"/>
      <c r="H61" s="27">
        <f>SUM(H53:H60)</f>
        <v>0.3680000000000001</v>
      </c>
      <c r="I61" s="28">
        <f>TRUNC(SUM(I53:I60),2)</f>
        <v>1229.04</v>
      </c>
    </row>
    <row r="63" spans="1:9" x14ac:dyDescent="0.3">
      <c r="A63" s="32" t="s">
        <v>59</v>
      </c>
      <c r="B63" s="2"/>
      <c r="C63" s="2"/>
      <c r="D63" s="2"/>
      <c r="E63" s="2"/>
      <c r="F63" s="2"/>
      <c r="G63" s="2"/>
      <c r="H63" s="2"/>
      <c r="I63" s="13">
        <f>D50+I61</f>
        <v>5169.5414141414149</v>
      </c>
    </row>
    <row r="64" spans="1:9" x14ac:dyDescent="0.3">
      <c r="A64" s="33" t="s">
        <v>57</v>
      </c>
      <c r="B64" s="2"/>
      <c r="C64" s="2"/>
      <c r="D64" s="2"/>
      <c r="E64" s="2"/>
      <c r="F64" s="2"/>
      <c r="G64" s="2"/>
      <c r="H64" s="11">
        <v>1</v>
      </c>
      <c r="I64" s="13">
        <f>I63*H64</f>
        <v>5169.5414141414149</v>
      </c>
    </row>
    <row r="68" spans="1:1" x14ac:dyDescent="0.3">
      <c r="A68" s="35" t="s">
        <v>60</v>
      </c>
    </row>
    <row r="69" spans="1:1" x14ac:dyDescent="0.3">
      <c r="A69" s="36" t="s">
        <v>61</v>
      </c>
    </row>
    <row r="70" spans="1:1" x14ac:dyDescent="0.3">
      <c r="A70" s="36" t="s">
        <v>62</v>
      </c>
    </row>
    <row r="71" spans="1:1" x14ac:dyDescent="0.3">
      <c r="A71" s="36" t="s">
        <v>63</v>
      </c>
    </row>
    <row r="72" spans="1:1" x14ac:dyDescent="0.3">
      <c r="A72" s="36" t="s">
        <v>64</v>
      </c>
    </row>
    <row r="73" spans="1:1" x14ac:dyDescent="0.3">
      <c r="A73" s="36"/>
    </row>
    <row r="74" spans="1:1" x14ac:dyDescent="0.3">
      <c r="A74" s="36"/>
    </row>
    <row r="75" spans="1:1" x14ac:dyDescent="0.3">
      <c r="A75" s="36"/>
    </row>
    <row r="76" spans="1:1" x14ac:dyDescent="0.3">
      <c r="A76" s="37" t="s">
        <v>65</v>
      </c>
    </row>
    <row r="77" spans="1:1" x14ac:dyDescent="0.3">
      <c r="A77" s="38" t="s">
        <v>66</v>
      </c>
    </row>
    <row r="78" spans="1:1" x14ac:dyDescent="0.3">
      <c r="A78" s="38" t="s">
        <v>67</v>
      </c>
    </row>
    <row r="79" spans="1:1" x14ac:dyDescent="0.3">
      <c r="A79" s="38" t="s">
        <v>68</v>
      </c>
    </row>
    <row r="80" spans="1:1" x14ac:dyDescent="0.3">
      <c r="A80" s="38" t="s">
        <v>69</v>
      </c>
    </row>
    <row r="81" spans="1:1" x14ac:dyDescent="0.3">
      <c r="A81" s="38" t="s">
        <v>70</v>
      </c>
    </row>
    <row r="82" spans="1:1" x14ac:dyDescent="0.3">
      <c r="A82" s="38" t="s">
        <v>71</v>
      </c>
    </row>
    <row r="83" spans="1:1" x14ac:dyDescent="0.3">
      <c r="A83" s="39" t="s">
        <v>72</v>
      </c>
    </row>
  </sheetData>
  <mergeCells count="12">
    <mergeCell ref="A61:G61"/>
    <mergeCell ref="B56:G56"/>
    <mergeCell ref="B57:G57"/>
    <mergeCell ref="B58:G58"/>
    <mergeCell ref="B59:C59"/>
    <mergeCell ref="B60:G60"/>
    <mergeCell ref="A1:F1"/>
    <mergeCell ref="B52:G52"/>
    <mergeCell ref="B53:G53"/>
    <mergeCell ref="B54:G54"/>
    <mergeCell ref="B55:G55"/>
    <mergeCell ref="A37:I37"/>
  </mergeCells>
  <pageMargins left="0.511811024" right="0.511811024" top="0.78740157499999996" bottom="0.78740157499999996" header="0.31496062000000002" footer="0.31496062000000002"/>
  <pageSetup paperSize="9" orientation="portrait" verticalDpi="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83"/>
  <sheetViews>
    <sheetView workbookViewId="0">
      <selection activeCell="A8" sqref="A8"/>
    </sheetView>
  </sheetViews>
  <sheetFormatPr defaultRowHeight="14.4" x14ac:dyDescent="0.3"/>
  <cols>
    <col min="1" max="1" width="32.33203125" bestFit="1" customWidth="1"/>
    <col min="2" max="2" width="11.33203125" bestFit="1" customWidth="1"/>
    <col min="3" max="3" width="17" bestFit="1" customWidth="1"/>
    <col min="4" max="4" width="11.6640625" customWidth="1"/>
    <col min="5" max="5" width="10.6640625" customWidth="1"/>
    <col min="8" max="8" width="9.6640625" customWidth="1"/>
    <col min="9" max="9" width="9.5546875" bestFit="1" customWidth="1"/>
  </cols>
  <sheetData>
    <row r="1" spans="1:6" x14ac:dyDescent="0.3">
      <c r="A1" s="44" t="s">
        <v>7</v>
      </c>
      <c r="B1" s="44"/>
      <c r="C1" s="44"/>
      <c r="D1" s="44"/>
      <c r="E1" s="44"/>
      <c r="F1" s="44"/>
    </row>
    <row r="2" spans="1:6" x14ac:dyDescent="0.3">
      <c r="A2" s="42"/>
      <c r="B2" s="42"/>
      <c r="C2" s="42"/>
      <c r="D2" s="42"/>
      <c r="E2" s="42"/>
      <c r="F2" s="42"/>
    </row>
    <row r="3" spans="1:6" x14ac:dyDescent="0.3">
      <c r="A3" s="42"/>
      <c r="B3" s="43" t="s">
        <v>83</v>
      </c>
      <c r="C3" s="42"/>
      <c r="D3" s="42">
        <v>7</v>
      </c>
      <c r="E3" s="42"/>
      <c r="F3" s="42"/>
    </row>
    <row r="4" spans="1:6" x14ac:dyDescent="0.3">
      <c r="A4" s="34"/>
      <c r="B4" s="43" t="s">
        <v>82</v>
      </c>
      <c r="C4" s="42"/>
      <c r="D4" s="42">
        <v>50</v>
      </c>
      <c r="E4" s="34"/>
      <c r="F4" s="34"/>
    </row>
    <row r="5" spans="1:6" x14ac:dyDescent="0.3">
      <c r="A5" s="34"/>
      <c r="B5" s="40" t="s">
        <v>73</v>
      </c>
      <c r="C5" s="34"/>
      <c r="D5" s="34">
        <f>D3*D4</f>
        <v>350</v>
      </c>
      <c r="E5" s="34"/>
      <c r="F5" s="34"/>
    </row>
    <row r="6" spans="1:6" x14ac:dyDescent="0.3">
      <c r="A6" s="34"/>
      <c r="B6" s="40" t="s">
        <v>74</v>
      </c>
      <c r="C6" s="34"/>
      <c r="D6" s="34">
        <v>20</v>
      </c>
      <c r="E6" s="34"/>
      <c r="F6" s="34"/>
    </row>
    <row r="7" spans="1:6" x14ac:dyDescent="0.3">
      <c r="A7" s="10" t="s">
        <v>86</v>
      </c>
      <c r="B7" t="s">
        <v>20</v>
      </c>
      <c r="D7">
        <f>D5*D6</f>
        <v>7000</v>
      </c>
    </row>
    <row r="9" spans="1:6" x14ac:dyDescent="0.3">
      <c r="A9" s="34" t="s">
        <v>9</v>
      </c>
      <c r="B9" s="7">
        <v>400000</v>
      </c>
      <c r="C9" s="34"/>
      <c r="D9" s="34"/>
      <c r="E9" s="34"/>
      <c r="F9" s="34"/>
    </row>
    <row r="10" spans="1:6" x14ac:dyDescent="0.3">
      <c r="A10" s="34" t="s">
        <v>75</v>
      </c>
      <c r="B10" s="7">
        <f>B9*20%</f>
        <v>80000</v>
      </c>
      <c r="C10" s="34"/>
      <c r="D10" s="34"/>
      <c r="E10" s="34"/>
      <c r="F10" s="34"/>
    </row>
    <row r="11" spans="1:6" x14ac:dyDescent="0.3">
      <c r="A11" s="34" t="s">
        <v>10</v>
      </c>
      <c r="B11" s="7">
        <f>B9-B10</f>
        <v>320000</v>
      </c>
      <c r="C11" s="34"/>
      <c r="D11" s="34"/>
      <c r="E11" s="34"/>
      <c r="F11" s="34"/>
    </row>
    <row r="12" spans="1:6" x14ac:dyDescent="0.3">
      <c r="A12" s="34" t="s">
        <v>11</v>
      </c>
      <c r="B12" s="7">
        <v>60</v>
      </c>
      <c r="C12" s="7">
        <f>B11/B12</f>
        <v>5333.333333333333</v>
      </c>
      <c r="D12" s="34"/>
      <c r="E12" s="34"/>
      <c r="F12" s="34"/>
    </row>
    <row r="13" spans="1:6" x14ac:dyDescent="0.3">
      <c r="A13" s="34" t="s">
        <v>13</v>
      </c>
      <c r="B13" s="15">
        <v>0.15</v>
      </c>
      <c r="C13" s="8">
        <f>B9*B13/12</f>
        <v>5000</v>
      </c>
      <c r="D13" s="34"/>
      <c r="E13" s="34"/>
      <c r="F13" s="34"/>
    </row>
    <row r="15" spans="1:6" x14ac:dyDescent="0.3">
      <c r="A15" s="1" t="s">
        <v>0</v>
      </c>
      <c r="B15" s="1" t="s">
        <v>8</v>
      </c>
      <c r="C15" s="1" t="s">
        <v>19</v>
      </c>
      <c r="D15" s="1" t="s">
        <v>1</v>
      </c>
    </row>
    <row r="16" spans="1:6" x14ac:dyDescent="0.3">
      <c r="A16" s="2" t="s">
        <v>2</v>
      </c>
      <c r="B16" s="2">
        <v>6</v>
      </c>
      <c r="C16" s="2">
        <v>4</v>
      </c>
      <c r="D16" s="3">
        <f t="shared" ref="D16:D24" si="0">B16/C16</f>
        <v>1.5</v>
      </c>
    </row>
    <row r="17" spans="1:4" x14ac:dyDescent="0.3">
      <c r="A17" s="2" t="s">
        <v>6</v>
      </c>
      <c r="B17" s="3">
        <v>700</v>
      </c>
      <c r="C17" s="2">
        <f>D7</f>
        <v>7000</v>
      </c>
      <c r="D17" s="3">
        <f t="shared" si="0"/>
        <v>0.1</v>
      </c>
    </row>
    <row r="18" spans="1:4" x14ac:dyDescent="0.3">
      <c r="A18" s="2" t="s">
        <v>77</v>
      </c>
      <c r="B18" s="3">
        <f>B9*2%</f>
        <v>8000</v>
      </c>
      <c r="C18" s="2">
        <f>C17*12</f>
        <v>84000</v>
      </c>
      <c r="D18" s="3">
        <f t="shared" si="0"/>
        <v>9.5238095238095233E-2</v>
      </c>
    </row>
    <row r="19" spans="1:4" x14ac:dyDescent="0.3">
      <c r="A19" s="2" t="s">
        <v>3</v>
      </c>
      <c r="B19" s="3">
        <v>900</v>
      </c>
      <c r="C19" s="2">
        <f>C17</f>
        <v>7000</v>
      </c>
      <c r="D19" s="3">
        <f t="shared" si="0"/>
        <v>0.12857142857142856</v>
      </c>
    </row>
    <row r="20" spans="1:4" x14ac:dyDescent="0.3">
      <c r="A20" s="2" t="s">
        <v>76</v>
      </c>
      <c r="B20" s="3">
        <f>6*1950</f>
        <v>11700</v>
      </c>
      <c r="C20" s="2">
        <v>70000</v>
      </c>
      <c r="D20" s="3">
        <f t="shared" si="0"/>
        <v>0.16714285714285715</v>
      </c>
    </row>
    <row r="21" spans="1:4" x14ac:dyDescent="0.3">
      <c r="A21" s="2" t="s">
        <v>23</v>
      </c>
      <c r="B21" s="3">
        <v>600</v>
      </c>
      <c r="C21" s="2">
        <f>C19</f>
        <v>7000</v>
      </c>
      <c r="D21" s="3">
        <f t="shared" si="0"/>
        <v>8.5714285714285715E-2</v>
      </c>
    </row>
    <row r="22" spans="1:4" x14ac:dyDescent="0.3">
      <c r="A22" s="2" t="s">
        <v>4</v>
      </c>
      <c r="B22" s="3">
        <f>I64</f>
        <v>6917.7662626262627</v>
      </c>
      <c r="C22" s="2">
        <f>C19</f>
        <v>7000</v>
      </c>
      <c r="D22" s="3">
        <f t="shared" si="0"/>
        <v>0.98825232323232326</v>
      </c>
    </row>
    <row r="23" spans="1:4" x14ac:dyDescent="0.3">
      <c r="A23" s="2" t="s">
        <v>12</v>
      </c>
      <c r="B23" s="3">
        <f>C12</f>
        <v>5333.333333333333</v>
      </c>
      <c r="C23" s="2">
        <f>C22</f>
        <v>7000</v>
      </c>
      <c r="D23" s="3">
        <f t="shared" si="0"/>
        <v>0.76190476190476186</v>
      </c>
    </row>
    <row r="24" spans="1:4" x14ac:dyDescent="0.3">
      <c r="A24" s="2" t="s">
        <v>14</v>
      </c>
      <c r="B24" s="9">
        <f>C13</f>
        <v>5000</v>
      </c>
      <c r="C24" s="2">
        <f>C23</f>
        <v>7000</v>
      </c>
      <c r="D24" s="3">
        <f t="shared" si="0"/>
        <v>0.7142857142857143</v>
      </c>
    </row>
    <row r="25" spans="1:4" x14ac:dyDescent="0.3">
      <c r="A25" s="4" t="s">
        <v>21</v>
      </c>
      <c r="B25" s="4"/>
      <c r="C25" s="4" t="s">
        <v>5</v>
      </c>
      <c r="D25" s="5">
        <f>SUM(D16:D24)</f>
        <v>4.5411094660894662</v>
      </c>
    </row>
    <row r="27" spans="1:4" x14ac:dyDescent="0.3">
      <c r="A27" s="2" t="s">
        <v>17</v>
      </c>
      <c r="B27" s="2"/>
      <c r="C27" s="11">
        <v>0.15</v>
      </c>
      <c r="D27" s="9">
        <f>D25*C27</f>
        <v>0.68116641991341986</v>
      </c>
    </row>
    <row r="28" spans="1:4" x14ac:dyDescent="0.3">
      <c r="A28" s="2" t="s">
        <v>18</v>
      </c>
      <c r="B28" s="2"/>
      <c r="C28" s="11">
        <v>0.15</v>
      </c>
      <c r="D28" s="9">
        <f>D25*C28</f>
        <v>0.68116641991341986</v>
      </c>
    </row>
    <row r="29" spans="1:4" x14ac:dyDescent="0.3">
      <c r="A29" s="12" t="s">
        <v>15</v>
      </c>
      <c r="B29" s="12"/>
      <c r="C29" s="12"/>
      <c r="D29" s="13">
        <f>D28+D27+D25</f>
        <v>5.9034423059163057</v>
      </c>
    </row>
    <row r="30" spans="1:4" x14ac:dyDescent="0.3">
      <c r="A30" s="2" t="s">
        <v>16</v>
      </c>
      <c r="B30" s="2"/>
      <c r="C30" s="14">
        <v>3.6499999999999998E-2</v>
      </c>
      <c r="D30" s="9">
        <f>D29*C30</f>
        <v>0.21547564416594514</v>
      </c>
    </row>
    <row r="31" spans="1:4" x14ac:dyDescent="0.3">
      <c r="A31" s="2" t="s">
        <v>84</v>
      </c>
      <c r="B31" s="2"/>
      <c r="C31" s="11"/>
      <c r="D31" s="9"/>
    </row>
    <row r="32" spans="1:4" x14ac:dyDescent="0.3">
      <c r="A32" s="2" t="s">
        <v>85</v>
      </c>
      <c r="B32" s="2"/>
      <c r="C32" s="11">
        <v>0.12</v>
      </c>
      <c r="D32" s="9">
        <f>D29*C32</f>
        <v>0.70841307670995668</v>
      </c>
    </row>
    <row r="33" spans="1:9" x14ac:dyDescent="0.3">
      <c r="A33" s="12" t="s">
        <v>22</v>
      </c>
      <c r="B33" s="12"/>
      <c r="C33" s="12"/>
      <c r="D33" s="13">
        <f>D29+D30+D32</f>
        <v>6.8273310267922076</v>
      </c>
    </row>
    <row r="37" spans="1:9" ht="30" customHeight="1" x14ac:dyDescent="0.3">
      <c r="A37" s="51"/>
      <c r="B37" s="51"/>
      <c r="C37" s="51"/>
      <c r="D37" s="51"/>
      <c r="E37" s="51"/>
      <c r="F37" s="51"/>
      <c r="G37" s="51"/>
      <c r="H37" s="51"/>
      <c r="I37" s="51"/>
    </row>
    <row r="38" spans="1:9" x14ac:dyDescent="0.3">
      <c r="A38" s="10" t="s">
        <v>58</v>
      </c>
      <c r="D38" s="16"/>
    </row>
    <row r="39" spans="1:9" x14ac:dyDescent="0.3">
      <c r="A39" s="12" t="s">
        <v>78</v>
      </c>
      <c r="B39" s="2"/>
      <c r="C39" s="3">
        <v>3796.09</v>
      </c>
      <c r="D39" s="9">
        <v>220</v>
      </c>
    </row>
    <row r="40" spans="1:9" x14ac:dyDescent="0.3">
      <c r="A40" s="2" t="s">
        <v>79</v>
      </c>
      <c r="B40" s="2"/>
      <c r="C40" s="3">
        <f>C39/D39*200</f>
        <v>3450.9909090909091</v>
      </c>
      <c r="D40" s="9"/>
    </row>
    <row r="41" spans="1:9" x14ac:dyDescent="0.3">
      <c r="A41" s="2" t="s">
        <v>48</v>
      </c>
      <c r="B41" s="11">
        <v>0.2</v>
      </c>
      <c r="C41" s="9">
        <f>C40*B41</f>
        <v>690.19818181818187</v>
      </c>
      <c r="D41" s="2"/>
    </row>
    <row r="42" spans="1:9" x14ac:dyDescent="0.3">
      <c r="A42" s="31" t="s">
        <v>56</v>
      </c>
      <c r="B42" s="11"/>
      <c r="C42" s="9"/>
      <c r="D42" s="13">
        <f>C41+C40</f>
        <v>4141.1890909090907</v>
      </c>
    </row>
    <row r="43" spans="1:9" x14ac:dyDescent="0.3">
      <c r="A43" s="2" t="s">
        <v>49</v>
      </c>
      <c r="B43" s="2">
        <v>20</v>
      </c>
      <c r="C43" s="3">
        <v>9.4</v>
      </c>
      <c r="D43" s="3">
        <f>C43*B43</f>
        <v>188</v>
      </c>
    </row>
    <row r="44" spans="1:9" x14ac:dyDescent="0.3">
      <c r="A44" s="2" t="s">
        <v>50</v>
      </c>
      <c r="B44" s="2">
        <v>1</v>
      </c>
      <c r="C44" s="3">
        <f>35*20</f>
        <v>700</v>
      </c>
      <c r="D44" s="3">
        <f>B44*C44</f>
        <v>700</v>
      </c>
    </row>
    <row r="45" spans="1:9" x14ac:dyDescent="0.3">
      <c r="A45" s="2" t="s">
        <v>80</v>
      </c>
      <c r="B45" s="2"/>
      <c r="C45" s="41">
        <v>0.2</v>
      </c>
      <c r="D45" s="3">
        <f>-D44*C45</f>
        <v>-140</v>
      </c>
    </row>
    <row r="46" spans="1:9" x14ac:dyDescent="0.3">
      <c r="A46" s="2" t="s">
        <v>81</v>
      </c>
      <c r="B46" s="2"/>
      <c r="C46" s="41">
        <v>0.06</v>
      </c>
      <c r="D46" s="3">
        <f>-C40*C46</f>
        <v>-207.05945454545454</v>
      </c>
    </row>
    <row r="47" spans="1:9" x14ac:dyDescent="0.3">
      <c r="A47" s="12" t="s">
        <v>51</v>
      </c>
      <c r="B47" s="12"/>
      <c r="C47" s="12"/>
      <c r="D47" s="13">
        <f>SUM(D42:D46)</f>
        <v>4682.1296363636366</v>
      </c>
    </row>
    <row r="48" spans="1:9" x14ac:dyDescent="0.3">
      <c r="A48" s="2" t="s">
        <v>52</v>
      </c>
      <c r="B48" s="2"/>
      <c r="C48" s="2"/>
      <c r="D48" s="9">
        <f>D47/12</f>
        <v>390.17746969696969</v>
      </c>
    </row>
    <row r="49" spans="1:9" x14ac:dyDescent="0.3">
      <c r="A49" s="2" t="s">
        <v>53</v>
      </c>
      <c r="B49" s="2"/>
      <c r="C49" s="2"/>
      <c r="D49" s="3">
        <f>(D47/3)/12</f>
        <v>130.05915656565656</v>
      </c>
    </row>
    <row r="50" spans="1:9" x14ac:dyDescent="0.3">
      <c r="A50" s="12" t="s">
        <v>54</v>
      </c>
      <c r="B50" s="12"/>
      <c r="C50" s="12"/>
      <c r="D50" s="30">
        <f>D49+D48+D47</f>
        <v>5202.3662626262631</v>
      </c>
      <c r="E50" s="10" t="s">
        <v>55</v>
      </c>
      <c r="F50" s="10"/>
      <c r="G50" s="10"/>
      <c r="H50" s="10"/>
      <c r="I50" s="29">
        <f>D42+D48+D49</f>
        <v>4661.4257171717172</v>
      </c>
    </row>
    <row r="52" spans="1:9" ht="27.6" x14ac:dyDescent="0.3">
      <c r="A52" s="17" t="s">
        <v>25</v>
      </c>
      <c r="B52" s="45" t="s">
        <v>26</v>
      </c>
      <c r="C52" s="46"/>
      <c r="D52" s="46"/>
      <c r="E52" s="46"/>
      <c r="F52" s="46"/>
      <c r="G52" s="47"/>
      <c r="H52" s="18" t="s">
        <v>27</v>
      </c>
      <c r="I52" s="18" t="s">
        <v>28</v>
      </c>
    </row>
    <row r="53" spans="1:9" x14ac:dyDescent="0.3">
      <c r="A53" s="19" t="s">
        <v>29</v>
      </c>
      <c r="B53" s="48" t="s">
        <v>30</v>
      </c>
      <c r="C53" s="49"/>
      <c r="D53" s="49"/>
      <c r="E53" s="49"/>
      <c r="F53" s="49"/>
      <c r="G53" s="50"/>
      <c r="H53" s="20">
        <v>0.2</v>
      </c>
      <c r="I53" s="21">
        <f>$I$50*H53</f>
        <v>932.28514343434347</v>
      </c>
    </row>
    <row r="54" spans="1:9" x14ac:dyDescent="0.3">
      <c r="A54" s="19" t="s">
        <v>31</v>
      </c>
      <c r="B54" s="48" t="s">
        <v>32</v>
      </c>
      <c r="C54" s="49"/>
      <c r="D54" s="49"/>
      <c r="E54" s="49"/>
      <c r="F54" s="49"/>
      <c r="G54" s="50"/>
      <c r="H54" s="20">
        <v>1.4999999999999999E-2</v>
      </c>
      <c r="I54" s="21">
        <f t="shared" ref="I54:I60" si="1">$I$50*H54</f>
        <v>69.921385757575749</v>
      </c>
    </row>
    <row r="55" spans="1:9" x14ac:dyDescent="0.3">
      <c r="A55" s="19" t="s">
        <v>33</v>
      </c>
      <c r="B55" s="48" t="s">
        <v>34</v>
      </c>
      <c r="C55" s="49"/>
      <c r="D55" s="49"/>
      <c r="E55" s="49"/>
      <c r="F55" s="49"/>
      <c r="G55" s="50"/>
      <c r="H55" s="20">
        <v>0.01</v>
      </c>
      <c r="I55" s="21">
        <f t="shared" si="1"/>
        <v>46.614257171717171</v>
      </c>
    </row>
    <row r="56" spans="1:9" x14ac:dyDescent="0.3">
      <c r="A56" s="19" t="s">
        <v>35</v>
      </c>
      <c r="B56" s="48" t="s">
        <v>36</v>
      </c>
      <c r="C56" s="49"/>
      <c r="D56" s="49"/>
      <c r="E56" s="49"/>
      <c r="F56" s="49"/>
      <c r="G56" s="50"/>
      <c r="H56" s="20">
        <v>2E-3</v>
      </c>
      <c r="I56" s="21">
        <f t="shared" si="1"/>
        <v>9.3228514343434341</v>
      </c>
    </row>
    <row r="57" spans="1:9" x14ac:dyDescent="0.3">
      <c r="A57" s="19" t="s">
        <v>37</v>
      </c>
      <c r="B57" s="55" t="s">
        <v>38</v>
      </c>
      <c r="C57" s="56"/>
      <c r="D57" s="56"/>
      <c r="E57" s="56"/>
      <c r="F57" s="56"/>
      <c r="G57" s="57"/>
      <c r="H57" s="20">
        <v>2.5000000000000001E-2</v>
      </c>
      <c r="I57" s="21">
        <f t="shared" si="1"/>
        <v>116.53564292929293</v>
      </c>
    </row>
    <row r="58" spans="1:9" x14ac:dyDescent="0.3">
      <c r="A58" s="19" t="s">
        <v>39</v>
      </c>
      <c r="B58" s="55" t="s">
        <v>40</v>
      </c>
      <c r="C58" s="56"/>
      <c r="D58" s="56"/>
      <c r="E58" s="56"/>
      <c r="F58" s="56"/>
      <c r="G58" s="57"/>
      <c r="H58" s="22">
        <v>0.08</v>
      </c>
      <c r="I58" s="21">
        <f t="shared" si="1"/>
        <v>372.91405737373736</v>
      </c>
    </row>
    <row r="59" spans="1:9" x14ac:dyDescent="0.3">
      <c r="A59" s="19" t="s">
        <v>41</v>
      </c>
      <c r="B59" s="58" t="s">
        <v>42</v>
      </c>
      <c r="C59" s="59"/>
      <c r="D59" s="23" t="s">
        <v>43</v>
      </c>
      <c r="E59" s="24">
        <v>0.03</v>
      </c>
      <c r="F59" s="23" t="s">
        <v>44</v>
      </c>
      <c r="G59" s="25">
        <v>1</v>
      </c>
      <c r="H59" s="26">
        <f>ROUND((E59*G59),6)</f>
        <v>0.03</v>
      </c>
      <c r="I59" s="21">
        <f t="shared" si="1"/>
        <v>139.8427715151515</v>
      </c>
    </row>
    <row r="60" spans="1:9" x14ac:dyDescent="0.3">
      <c r="A60" s="19" t="s">
        <v>45</v>
      </c>
      <c r="B60" s="55" t="s">
        <v>46</v>
      </c>
      <c r="C60" s="56"/>
      <c r="D60" s="56"/>
      <c r="E60" s="56"/>
      <c r="F60" s="56"/>
      <c r="G60" s="57"/>
      <c r="H60" s="20">
        <v>6.0000000000000001E-3</v>
      </c>
      <c r="I60" s="21">
        <f t="shared" si="1"/>
        <v>27.968554303030302</v>
      </c>
    </row>
    <row r="61" spans="1:9" x14ac:dyDescent="0.3">
      <c r="A61" s="52" t="s">
        <v>47</v>
      </c>
      <c r="B61" s="53"/>
      <c r="C61" s="53"/>
      <c r="D61" s="53"/>
      <c r="E61" s="53"/>
      <c r="F61" s="53"/>
      <c r="G61" s="54"/>
      <c r="H61" s="27">
        <f>SUM(H53:H60)</f>
        <v>0.3680000000000001</v>
      </c>
      <c r="I61" s="28">
        <f>TRUNC(SUM(I53:I60),2)</f>
        <v>1715.4</v>
      </c>
    </row>
    <row r="63" spans="1:9" x14ac:dyDescent="0.3">
      <c r="A63" s="32" t="s">
        <v>59</v>
      </c>
      <c r="B63" s="2"/>
      <c r="C63" s="2"/>
      <c r="D63" s="2"/>
      <c r="E63" s="2"/>
      <c r="F63" s="2"/>
      <c r="G63" s="2"/>
      <c r="H63" s="2"/>
      <c r="I63" s="13">
        <f>D50+I61</f>
        <v>6917.7662626262627</v>
      </c>
    </row>
    <row r="64" spans="1:9" x14ac:dyDescent="0.3">
      <c r="A64" s="33" t="s">
        <v>57</v>
      </c>
      <c r="B64" s="2"/>
      <c r="C64" s="2"/>
      <c r="D64" s="2"/>
      <c r="E64" s="2"/>
      <c r="F64" s="2"/>
      <c r="G64" s="2"/>
      <c r="H64" s="11">
        <v>1</v>
      </c>
      <c r="I64" s="13">
        <f>I63*H64</f>
        <v>6917.7662626262627</v>
      </c>
    </row>
    <row r="68" spans="1:1" x14ac:dyDescent="0.3">
      <c r="A68" s="35" t="s">
        <v>60</v>
      </c>
    </row>
    <row r="69" spans="1:1" x14ac:dyDescent="0.3">
      <c r="A69" s="36" t="s">
        <v>61</v>
      </c>
    </row>
    <row r="70" spans="1:1" x14ac:dyDescent="0.3">
      <c r="A70" s="36" t="s">
        <v>62</v>
      </c>
    </row>
    <row r="71" spans="1:1" x14ac:dyDescent="0.3">
      <c r="A71" s="36" t="s">
        <v>63</v>
      </c>
    </row>
    <row r="72" spans="1:1" x14ac:dyDescent="0.3">
      <c r="A72" s="36" t="s">
        <v>64</v>
      </c>
    </row>
    <row r="73" spans="1:1" x14ac:dyDescent="0.3">
      <c r="A73" s="36"/>
    </row>
    <row r="74" spans="1:1" x14ac:dyDescent="0.3">
      <c r="A74" s="36"/>
    </row>
    <row r="75" spans="1:1" x14ac:dyDescent="0.3">
      <c r="A75" s="36"/>
    </row>
    <row r="76" spans="1:1" x14ac:dyDescent="0.3">
      <c r="A76" s="37" t="s">
        <v>65</v>
      </c>
    </row>
    <row r="77" spans="1:1" x14ac:dyDescent="0.3">
      <c r="A77" s="38" t="s">
        <v>66</v>
      </c>
    </row>
    <row r="78" spans="1:1" x14ac:dyDescent="0.3">
      <c r="A78" s="38" t="s">
        <v>67</v>
      </c>
    </row>
    <row r="79" spans="1:1" x14ac:dyDescent="0.3">
      <c r="A79" s="38" t="s">
        <v>68</v>
      </c>
    </row>
    <row r="80" spans="1:1" x14ac:dyDescent="0.3">
      <c r="A80" s="38" t="s">
        <v>69</v>
      </c>
    </row>
    <row r="81" spans="1:1" x14ac:dyDescent="0.3">
      <c r="A81" s="38" t="s">
        <v>70</v>
      </c>
    </row>
    <row r="82" spans="1:1" x14ac:dyDescent="0.3">
      <c r="A82" s="38" t="s">
        <v>71</v>
      </c>
    </row>
    <row r="83" spans="1:1" x14ac:dyDescent="0.3">
      <c r="A83" s="39" t="s">
        <v>72</v>
      </c>
    </row>
  </sheetData>
  <mergeCells count="12">
    <mergeCell ref="B57:G57"/>
    <mergeCell ref="B58:G58"/>
    <mergeCell ref="B59:C59"/>
    <mergeCell ref="B60:G60"/>
    <mergeCell ref="A61:G61"/>
    <mergeCell ref="B56:G56"/>
    <mergeCell ref="A1:F1"/>
    <mergeCell ref="B52:G52"/>
    <mergeCell ref="B53:G53"/>
    <mergeCell ref="B54:G54"/>
    <mergeCell ref="B55:G55"/>
    <mergeCell ref="A37:I37"/>
  </mergeCells>
  <pageMargins left="0.511811024" right="0.511811024" top="0.78740157499999996" bottom="0.78740157499999996" header="0.31496062000000002" footer="0.31496062000000002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van 7 lugar</vt:lpstr>
      <vt:lpstr>onibus 40 lugar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Cezar</dc:creator>
  <cp:lastModifiedBy>Usuário</cp:lastModifiedBy>
  <dcterms:created xsi:type="dcterms:W3CDTF">2019-11-18T12:02:57Z</dcterms:created>
  <dcterms:modified xsi:type="dcterms:W3CDTF">2025-11-19T17:32:56Z</dcterms:modified>
</cp:coreProperties>
</file>