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\Desktop\"/>
    </mc:Choice>
  </mc:AlternateContent>
  <bookViews>
    <workbookView xWindow="0" yWindow="0" windowWidth="14490" windowHeight="8145" tabRatio="717" activeTab="10"/>
  </bookViews>
  <sheets>
    <sheet name="1 van 12 lugar" sheetId="7" r:id="rId1"/>
    <sheet name="2 ônibus 48 lugar" sheetId="2" r:id="rId2"/>
    <sheet name="3 onibus 40 lugar" sheetId="3" r:id="rId3"/>
    <sheet name="4 onibus 40 lug" sheetId="4" r:id="rId4"/>
    <sheet name="5 18 lugar" sheetId="15" r:id="rId5"/>
    <sheet name="6 van 24 lug" sheetId="5" r:id="rId6"/>
    <sheet name="7 micro 30lug" sheetId="9" r:id="rId7"/>
    <sheet name="8 van 21" sheetId="10" r:id="rId8"/>
    <sheet name="9 micro 30" sheetId="13" r:id="rId9"/>
    <sheet name="10 van 24" sheetId="14" r:id="rId10"/>
    <sheet name="11 van 5" sheetId="19" r:id="rId1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7" i="19" l="1"/>
  <c r="M24" i="14"/>
  <c r="M27" i="13"/>
  <c r="L27" i="10"/>
  <c r="M24" i="9"/>
  <c r="M23" i="5"/>
  <c r="M22" i="15"/>
  <c r="N23" i="4"/>
  <c r="N27" i="3"/>
  <c r="L24" i="2"/>
  <c r="M28" i="7"/>
  <c r="L28" i="7"/>
  <c r="N28" i="7"/>
  <c r="P28" i="7" s="1"/>
  <c r="E37" i="19" l="1"/>
  <c r="H56" i="19" l="1"/>
  <c r="H58" i="19" s="1"/>
  <c r="D41" i="19"/>
  <c r="E41" i="19" s="1"/>
  <c r="E42" i="19" s="1"/>
  <c r="D40" i="19"/>
  <c r="E40" i="19" s="1"/>
  <c r="E43" i="19"/>
  <c r="C37" i="19"/>
  <c r="D43" i="19" s="1"/>
  <c r="D18" i="19"/>
  <c r="D14" i="19"/>
  <c r="C11" i="19"/>
  <c r="B23" i="19" s="1"/>
  <c r="C10" i="19"/>
  <c r="B22" i="19" s="1"/>
  <c r="D5" i="19"/>
  <c r="C32" i="19" s="1"/>
  <c r="C38" i="19" l="1"/>
  <c r="D39" i="19" s="1"/>
  <c r="E38" i="19"/>
  <c r="D42" i="19"/>
  <c r="D44" i="19" s="1"/>
  <c r="D6" i="19"/>
  <c r="C15" i="19"/>
  <c r="E39" i="19"/>
  <c r="E44" i="19" s="1"/>
  <c r="I60" i="14"/>
  <c r="I60" i="13"/>
  <c r="I60" i="10"/>
  <c r="I60" i="9"/>
  <c r="I60" i="5"/>
  <c r="I60" i="15"/>
  <c r="I60" i="4"/>
  <c r="I60" i="3"/>
  <c r="E41" i="14"/>
  <c r="E42" i="14" s="1"/>
  <c r="E40" i="14"/>
  <c r="E37" i="14"/>
  <c r="E43" i="14" s="1"/>
  <c r="E41" i="13"/>
  <c r="E42" i="13" s="1"/>
  <c r="E40" i="13"/>
  <c r="E37" i="13"/>
  <c r="E38" i="13" s="1"/>
  <c r="E39" i="13" s="1"/>
  <c r="E41" i="10"/>
  <c r="E42" i="10" s="1"/>
  <c r="E40" i="10"/>
  <c r="E37" i="10"/>
  <c r="E43" i="9"/>
  <c r="E42" i="9"/>
  <c r="E41" i="9"/>
  <c r="E40" i="9"/>
  <c r="E37" i="9"/>
  <c r="E38" i="9" s="1"/>
  <c r="E39" i="9" s="1"/>
  <c r="E43" i="5"/>
  <c r="E42" i="5"/>
  <c r="E41" i="5"/>
  <c r="E40" i="5"/>
  <c r="E38" i="5"/>
  <c r="E37" i="5"/>
  <c r="E39" i="5" s="1"/>
  <c r="E41" i="15"/>
  <c r="E42" i="15" s="1"/>
  <c r="E40" i="15"/>
  <c r="E37" i="15"/>
  <c r="E41" i="4"/>
  <c r="E42" i="4" s="1"/>
  <c r="E40" i="4"/>
  <c r="E37" i="4"/>
  <c r="E43" i="3"/>
  <c r="E41" i="3"/>
  <c r="E42" i="3" s="1"/>
  <c r="E40" i="3"/>
  <c r="E37" i="3"/>
  <c r="E38" i="3" s="1"/>
  <c r="E39" i="3" s="1"/>
  <c r="I60" i="2"/>
  <c r="E41" i="2"/>
  <c r="E42" i="2" s="1"/>
  <c r="E40" i="2"/>
  <c r="E37" i="2"/>
  <c r="I60" i="7"/>
  <c r="I47" i="7"/>
  <c r="E44" i="7"/>
  <c r="E45" i="7" s="1"/>
  <c r="E43" i="7"/>
  <c r="E42" i="7"/>
  <c r="E41" i="7"/>
  <c r="E40" i="7"/>
  <c r="E39" i="7"/>
  <c r="E38" i="7"/>
  <c r="E37" i="7"/>
  <c r="D15" i="19" l="1"/>
  <c r="C16" i="19"/>
  <c r="D16" i="19" s="1"/>
  <c r="C17" i="19"/>
  <c r="D17" i="19" s="1"/>
  <c r="E45" i="19"/>
  <c r="E46" i="19"/>
  <c r="C21" i="19"/>
  <c r="C22" i="19" s="1"/>
  <c r="D46" i="19"/>
  <c r="D45" i="19"/>
  <c r="E38" i="14"/>
  <c r="E39" i="14"/>
  <c r="E43" i="13"/>
  <c r="E44" i="13" s="1"/>
  <c r="E38" i="10"/>
  <c r="E39" i="10" s="1"/>
  <c r="E43" i="10"/>
  <c r="E44" i="9"/>
  <c r="E44" i="5"/>
  <c r="E39" i="15"/>
  <c r="E43" i="15"/>
  <c r="E38" i="15"/>
  <c r="E43" i="4"/>
  <c r="E38" i="4"/>
  <c r="E39" i="4" s="1"/>
  <c r="E44" i="3"/>
  <c r="E43" i="2"/>
  <c r="E38" i="2"/>
  <c r="E39" i="2" s="1"/>
  <c r="E46" i="7"/>
  <c r="E47" i="7" s="1"/>
  <c r="D43" i="7"/>
  <c r="D41" i="7"/>
  <c r="D42" i="7" s="1"/>
  <c r="D43" i="2"/>
  <c r="D41" i="2"/>
  <c r="D42" i="2" s="1"/>
  <c r="D43" i="3"/>
  <c r="D41" i="3"/>
  <c r="D42" i="3" s="1"/>
  <c r="D43" i="4"/>
  <c r="D41" i="4"/>
  <c r="D42" i="4" s="1"/>
  <c r="D43" i="15"/>
  <c r="D41" i="15"/>
  <c r="D42" i="15" s="1"/>
  <c r="D41" i="5"/>
  <c r="D42" i="5" s="1"/>
  <c r="D43" i="9"/>
  <c r="D41" i="9"/>
  <c r="D42" i="9" s="1"/>
  <c r="D41" i="10"/>
  <c r="D42" i="10" s="1"/>
  <c r="D43" i="13"/>
  <c r="D41" i="13"/>
  <c r="D42" i="13" s="1"/>
  <c r="D41" i="14"/>
  <c r="D42" i="14" s="1"/>
  <c r="I47" i="19" l="1"/>
  <c r="I52" i="19" s="1"/>
  <c r="C20" i="19"/>
  <c r="E47" i="19"/>
  <c r="D20" i="19"/>
  <c r="C19" i="19"/>
  <c r="D19" i="19" s="1"/>
  <c r="D47" i="19"/>
  <c r="C23" i="19"/>
  <c r="D23" i="19" s="1"/>
  <c r="D22" i="19"/>
  <c r="E44" i="14"/>
  <c r="E46" i="13"/>
  <c r="E47" i="13" s="1"/>
  <c r="E45" i="13"/>
  <c r="I47" i="13" s="1"/>
  <c r="E44" i="10"/>
  <c r="E46" i="9"/>
  <c r="E45" i="9"/>
  <c r="I47" i="9" s="1"/>
  <c r="E46" i="5"/>
  <c r="E47" i="5" s="1"/>
  <c r="E45" i="5"/>
  <c r="E44" i="15"/>
  <c r="E44" i="4"/>
  <c r="E46" i="3"/>
  <c r="E45" i="3"/>
  <c r="I47" i="3" s="1"/>
  <c r="E44" i="2"/>
  <c r="I51" i="19" l="1"/>
  <c r="I55" i="19"/>
  <c r="I50" i="19"/>
  <c r="I53" i="19"/>
  <c r="I54" i="19"/>
  <c r="I57" i="19"/>
  <c r="I56" i="19"/>
  <c r="E46" i="14"/>
  <c r="E45" i="14"/>
  <c r="I47" i="14" s="1"/>
  <c r="E45" i="10"/>
  <c r="E46" i="10"/>
  <c r="E47" i="10" s="1"/>
  <c r="E47" i="9"/>
  <c r="I47" i="5"/>
  <c r="E46" i="15"/>
  <c r="E47" i="15" s="1"/>
  <c r="E45" i="15"/>
  <c r="E46" i="4"/>
  <c r="E45" i="4"/>
  <c r="I47" i="4" s="1"/>
  <c r="E47" i="3"/>
  <c r="E45" i="2"/>
  <c r="E46" i="2"/>
  <c r="E47" i="2" s="1"/>
  <c r="I58" i="19" l="1"/>
  <c r="I60" i="19" s="1"/>
  <c r="I61" i="19" s="1"/>
  <c r="B21" i="19" s="1"/>
  <c r="D21" i="19" s="1"/>
  <c r="D24" i="19" s="1"/>
  <c r="D26" i="19" s="1"/>
  <c r="D27" i="19"/>
  <c r="E47" i="14"/>
  <c r="I47" i="10"/>
  <c r="I47" i="15"/>
  <c r="E47" i="4"/>
  <c r="I47" i="2"/>
  <c r="E113" i="15"/>
  <c r="H56" i="15"/>
  <c r="H58" i="15" s="1"/>
  <c r="D40" i="15"/>
  <c r="C37" i="15"/>
  <c r="D18" i="15"/>
  <c r="D14" i="15"/>
  <c r="C11" i="15"/>
  <c r="B23" i="15" s="1"/>
  <c r="B9" i="15"/>
  <c r="C10" i="15" s="1"/>
  <c r="B22" i="15" s="1"/>
  <c r="B8" i="15"/>
  <c r="D5" i="15"/>
  <c r="C32" i="15" s="1"/>
  <c r="H56" i="14"/>
  <c r="H58" i="14" s="1"/>
  <c r="D40" i="14"/>
  <c r="C37" i="14"/>
  <c r="D43" i="14" s="1"/>
  <c r="D18" i="14"/>
  <c r="D14" i="14"/>
  <c r="C11" i="14"/>
  <c r="B23" i="14" s="1"/>
  <c r="B8" i="14"/>
  <c r="B9" i="14" s="1"/>
  <c r="C10" i="14" s="1"/>
  <c r="B22" i="14" s="1"/>
  <c r="D5" i="14"/>
  <c r="D6" i="14" s="1"/>
  <c r="E112" i="13"/>
  <c r="H56" i="13"/>
  <c r="H58" i="13" s="1"/>
  <c r="D40" i="13"/>
  <c r="C37" i="13"/>
  <c r="D18" i="13"/>
  <c r="D14" i="13"/>
  <c r="C11" i="13"/>
  <c r="B23" i="13" s="1"/>
  <c r="B8" i="13"/>
  <c r="B9" i="13" s="1"/>
  <c r="C10" i="13" s="1"/>
  <c r="B22" i="13" s="1"/>
  <c r="D5" i="13"/>
  <c r="C32" i="13" s="1"/>
  <c r="D28" i="19" l="1"/>
  <c r="C15" i="14"/>
  <c r="C17" i="14" s="1"/>
  <c r="C21" i="14" s="1"/>
  <c r="C22" i="14" s="1"/>
  <c r="C23" i="14" s="1"/>
  <c r="D23" i="14" s="1"/>
  <c r="C15" i="13"/>
  <c r="C16" i="13" s="1"/>
  <c r="D16" i="13" s="1"/>
  <c r="C38" i="14"/>
  <c r="D39" i="14" s="1"/>
  <c r="D44" i="14" s="1"/>
  <c r="C38" i="15"/>
  <c r="D39" i="15" s="1"/>
  <c r="C15" i="15"/>
  <c r="D6" i="15"/>
  <c r="D17" i="14"/>
  <c r="C20" i="14"/>
  <c r="C32" i="14"/>
  <c r="D15" i="14"/>
  <c r="C17" i="13"/>
  <c r="C20" i="13" s="1"/>
  <c r="C19" i="13" s="1"/>
  <c r="D19" i="13" s="1"/>
  <c r="D20" i="13"/>
  <c r="C38" i="13"/>
  <c r="D39" i="13" s="1"/>
  <c r="D15" i="13"/>
  <c r="D6" i="13"/>
  <c r="D29" i="19" l="1"/>
  <c r="D31" i="19" s="1"/>
  <c r="C16" i="14"/>
  <c r="D16" i="14" s="1"/>
  <c r="C16" i="15"/>
  <c r="D16" i="15" s="1"/>
  <c r="D15" i="15"/>
  <c r="C17" i="15"/>
  <c r="D44" i="15"/>
  <c r="D22" i="14"/>
  <c r="D45" i="14"/>
  <c r="D46" i="14"/>
  <c r="D20" i="14"/>
  <c r="C19" i="14"/>
  <c r="D19" i="14" s="1"/>
  <c r="D17" i="13"/>
  <c r="C21" i="13"/>
  <c r="C22" i="13" s="1"/>
  <c r="C23" i="13" s="1"/>
  <c r="D23" i="13" s="1"/>
  <c r="D44" i="13"/>
  <c r="E113" i="10"/>
  <c r="H56" i="10"/>
  <c r="H58" i="10" s="1"/>
  <c r="D40" i="10"/>
  <c r="C37" i="10"/>
  <c r="D18" i="10"/>
  <c r="D14" i="10"/>
  <c r="C11" i="10"/>
  <c r="B23" i="10" s="1"/>
  <c r="B8" i="10"/>
  <c r="B9" i="10" s="1"/>
  <c r="C10" i="10" s="1"/>
  <c r="B22" i="10" s="1"/>
  <c r="D5" i="10"/>
  <c r="C15" i="10" s="1"/>
  <c r="D32" i="19" l="1"/>
  <c r="L27" i="19"/>
  <c r="N27" i="19" s="1"/>
  <c r="P27" i="19" s="1"/>
  <c r="D22" i="13"/>
  <c r="D47" i="14"/>
  <c r="C38" i="10"/>
  <c r="D39" i="10" s="1"/>
  <c r="D43" i="10"/>
  <c r="D46" i="15"/>
  <c r="D45" i="15"/>
  <c r="C20" i="15"/>
  <c r="D17" i="15"/>
  <c r="C21" i="15"/>
  <c r="C22" i="15" s="1"/>
  <c r="D46" i="13"/>
  <c r="D45" i="13"/>
  <c r="D15" i="10"/>
  <c r="C17" i="10"/>
  <c r="C20" i="10" s="1"/>
  <c r="C19" i="10" s="1"/>
  <c r="D19" i="10" s="1"/>
  <c r="C16" i="10"/>
  <c r="D16" i="10" s="1"/>
  <c r="D6" i="10"/>
  <c r="C32" i="10"/>
  <c r="D44" i="10"/>
  <c r="E112" i="9"/>
  <c r="D18" i="9"/>
  <c r="H56" i="9"/>
  <c r="H58" i="9" s="1"/>
  <c r="D40" i="9"/>
  <c r="C37" i="9"/>
  <c r="D14" i="9"/>
  <c r="C11" i="9"/>
  <c r="B23" i="9" s="1"/>
  <c r="B8" i="9"/>
  <c r="B9" i="9" s="1"/>
  <c r="C10" i="9" s="1"/>
  <c r="B22" i="9" s="1"/>
  <c r="D5" i="9"/>
  <c r="C32" i="9" s="1"/>
  <c r="D47" i="13" l="1"/>
  <c r="I52" i="13"/>
  <c r="C38" i="9"/>
  <c r="D39" i="9" s="1"/>
  <c r="D44" i="9" s="1"/>
  <c r="D47" i="15"/>
  <c r="D20" i="15"/>
  <c r="C19" i="15"/>
  <c r="D19" i="15" s="1"/>
  <c r="I53" i="15"/>
  <c r="I52" i="15"/>
  <c r="I51" i="15"/>
  <c r="I57" i="15"/>
  <c r="I50" i="15"/>
  <c r="I55" i="15"/>
  <c r="I54" i="15"/>
  <c r="I56" i="15"/>
  <c r="C23" i="15"/>
  <c r="D23" i="15" s="1"/>
  <c r="D22" i="15"/>
  <c r="D17" i="10"/>
  <c r="D20" i="10"/>
  <c r="I54" i="14"/>
  <c r="I50" i="14"/>
  <c r="I55" i="14"/>
  <c r="I53" i="14"/>
  <c r="I52" i="14"/>
  <c r="I51" i="14"/>
  <c r="I57" i="14"/>
  <c r="I56" i="14"/>
  <c r="I57" i="13"/>
  <c r="I50" i="13"/>
  <c r="C15" i="9"/>
  <c r="C17" i="9" s="1"/>
  <c r="D17" i="9" s="1"/>
  <c r="C21" i="10"/>
  <c r="C22" i="10" s="1"/>
  <c r="D46" i="10"/>
  <c r="D45" i="10"/>
  <c r="C21" i="9"/>
  <c r="C22" i="9" s="1"/>
  <c r="C23" i="9" s="1"/>
  <c r="D23" i="9" s="1"/>
  <c r="D6" i="9"/>
  <c r="C16" i="9" l="1"/>
  <c r="D16" i="9" s="1"/>
  <c r="I58" i="14"/>
  <c r="I61" i="14" s="1"/>
  <c r="B21" i="14" s="1"/>
  <c r="D21" i="14" s="1"/>
  <c r="D24" i="14" s="1"/>
  <c r="D27" i="14" s="1"/>
  <c r="I53" i="13"/>
  <c r="I54" i="13"/>
  <c r="I55" i="13"/>
  <c r="I56" i="13"/>
  <c r="I51" i="13"/>
  <c r="I58" i="15"/>
  <c r="I61" i="15" s="1"/>
  <c r="B21" i="15" s="1"/>
  <c r="D21" i="15" s="1"/>
  <c r="D24" i="15" s="1"/>
  <c r="D27" i="15" s="1"/>
  <c r="D15" i="9"/>
  <c r="D22" i="9"/>
  <c r="C20" i="9"/>
  <c r="C23" i="10"/>
  <c r="D23" i="10" s="1"/>
  <c r="D22" i="10"/>
  <c r="I53" i="10"/>
  <c r="I52" i="10"/>
  <c r="I51" i="10"/>
  <c r="I50" i="10"/>
  <c r="I55" i="10"/>
  <c r="I54" i="10"/>
  <c r="I57" i="10"/>
  <c r="I56" i="10"/>
  <c r="D47" i="10"/>
  <c r="D20" i="9"/>
  <c r="C19" i="9"/>
  <c r="D19" i="9" s="1"/>
  <c r="D45" i="9"/>
  <c r="D46" i="9"/>
  <c r="D47" i="9" s="1"/>
  <c r="E113" i="7"/>
  <c r="H56" i="7"/>
  <c r="H58" i="7" s="1"/>
  <c r="D40" i="7"/>
  <c r="C37" i="7"/>
  <c r="C38" i="7" s="1"/>
  <c r="D39" i="7" s="1"/>
  <c r="D18" i="7"/>
  <c r="D14" i="7"/>
  <c r="C11" i="7"/>
  <c r="B23" i="7" s="1"/>
  <c r="B8" i="7"/>
  <c r="B9" i="7" s="1"/>
  <c r="C10" i="7" s="1"/>
  <c r="B22" i="7" s="1"/>
  <c r="D5" i="7"/>
  <c r="C32" i="7" s="1"/>
  <c r="D26" i="14" l="1"/>
  <c r="I58" i="13"/>
  <c r="I61" i="13" s="1"/>
  <c r="B21" i="13" s="1"/>
  <c r="D21" i="13" s="1"/>
  <c r="D24" i="13" s="1"/>
  <c r="D27" i="13" s="1"/>
  <c r="D26" i="15"/>
  <c r="D28" i="15" s="1"/>
  <c r="D29" i="15" s="1"/>
  <c r="D31" i="15" s="1"/>
  <c r="D28" i="14"/>
  <c r="D29" i="14" s="1"/>
  <c r="I58" i="10"/>
  <c r="I61" i="10" s="1"/>
  <c r="B21" i="10" s="1"/>
  <c r="D21" i="10" s="1"/>
  <c r="D24" i="10" s="1"/>
  <c r="D44" i="7"/>
  <c r="C15" i="7"/>
  <c r="D6" i="7"/>
  <c r="D32" i="15" l="1"/>
  <c r="L22" i="15"/>
  <c r="N22" i="15" s="1"/>
  <c r="P22" i="15" s="1"/>
  <c r="D26" i="13"/>
  <c r="D28" i="13" s="1"/>
  <c r="D31" i="14"/>
  <c r="D27" i="10"/>
  <c r="D26" i="10"/>
  <c r="I54" i="9"/>
  <c r="I53" i="9"/>
  <c r="I55" i="9"/>
  <c r="I52" i="9"/>
  <c r="I51" i="9"/>
  <c r="I57" i="9"/>
  <c r="I50" i="9"/>
  <c r="I56" i="9"/>
  <c r="C17" i="7"/>
  <c r="C16" i="7"/>
  <c r="D16" i="7" s="1"/>
  <c r="D15" i="7"/>
  <c r="D45" i="7"/>
  <c r="D46" i="7"/>
  <c r="D32" i="14" l="1"/>
  <c r="L24" i="14"/>
  <c r="N24" i="14" s="1"/>
  <c r="P24" i="14" s="1"/>
  <c r="D47" i="7"/>
  <c r="D28" i="10"/>
  <c r="D29" i="10" s="1"/>
  <c r="D31" i="10" s="1"/>
  <c r="D29" i="13"/>
  <c r="D31" i="13" s="1"/>
  <c r="I58" i="9"/>
  <c r="I61" i="9" s="1"/>
  <c r="B21" i="9" s="1"/>
  <c r="D21" i="9" s="1"/>
  <c r="D24" i="9" s="1"/>
  <c r="C21" i="7"/>
  <c r="C22" i="7" s="1"/>
  <c r="C20" i="7"/>
  <c r="D17" i="7"/>
  <c r="D32" i="13" l="1"/>
  <c r="L27" i="13"/>
  <c r="N27" i="13" s="1"/>
  <c r="P27" i="13" s="1"/>
  <c r="D32" i="10"/>
  <c r="K27" i="10"/>
  <c r="M27" i="10" s="1"/>
  <c r="O27" i="10" s="1"/>
  <c r="D27" i="9"/>
  <c r="D26" i="9"/>
  <c r="C23" i="7"/>
  <c r="D23" i="7" s="1"/>
  <c r="D22" i="7"/>
  <c r="I54" i="7"/>
  <c r="I53" i="7"/>
  <c r="I52" i="7"/>
  <c r="I50" i="7"/>
  <c r="I55" i="7"/>
  <c r="I51" i="7"/>
  <c r="I57" i="7"/>
  <c r="I56" i="7"/>
  <c r="D20" i="7"/>
  <c r="C19" i="7"/>
  <c r="D19" i="7" s="1"/>
  <c r="D28" i="9" l="1"/>
  <c r="I58" i="7"/>
  <c r="I61" i="7" s="1"/>
  <c r="B21" i="7" s="1"/>
  <c r="D21" i="7" s="1"/>
  <c r="D24" i="7" s="1"/>
  <c r="D29" i="9" l="1"/>
  <c r="D31" i="9" s="1"/>
  <c r="D27" i="7"/>
  <c r="D26" i="7"/>
  <c r="D32" i="9" l="1"/>
  <c r="L24" i="9"/>
  <c r="N24" i="9" s="1"/>
  <c r="P24" i="9" s="1"/>
  <c r="D28" i="7"/>
  <c r="D29" i="7" s="1"/>
  <c r="D31" i="7" l="1"/>
  <c r="D32" i="7" s="1"/>
  <c r="H56" i="5"/>
  <c r="H58" i="5" s="1"/>
  <c r="D40" i="5"/>
  <c r="C37" i="5"/>
  <c r="D43" i="5" s="1"/>
  <c r="D18" i="5"/>
  <c r="D14" i="5"/>
  <c r="C11" i="5"/>
  <c r="B23" i="5" s="1"/>
  <c r="B8" i="5"/>
  <c r="B9" i="5" s="1"/>
  <c r="C10" i="5" s="1"/>
  <c r="B22" i="5" s="1"/>
  <c r="D5" i="5"/>
  <c r="C15" i="5" s="1"/>
  <c r="C38" i="5" l="1"/>
  <c r="D39" i="5" s="1"/>
  <c r="C17" i="5"/>
  <c r="C20" i="5" s="1"/>
  <c r="C16" i="5"/>
  <c r="D16" i="5" s="1"/>
  <c r="C32" i="5"/>
  <c r="D6" i="5"/>
  <c r="D44" i="5"/>
  <c r="D15" i="5"/>
  <c r="E111" i="4"/>
  <c r="H56" i="4"/>
  <c r="H58" i="4" s="1"/>
  <c r="D40" i="4"/>
  <c r="C37" i="4"/>
  <c r="D18" i="4"/>
  <c r="D14" i="4"/>
  <c r="C11" i="4"/>
  <c r="B23" i="4" s="1"/>
  <c r="B8" i="4"/>
  <c r="B9" i="4" s="1"/>
  <c r="C10" i="4" s="1"/>
  <c r="B22" i="4" s="1"/>
  <c r="D5" i="4"/>
  <c r="C15" i="4" s="1"/>
  <c r="C17" i="4" s="1"/>
  <c r="E111" i="3"/>
  <c r="H56" i="3"/>
  <c r="H58" i="3" s="1"/>
  <c r="D40" i="3"/>
  <c r="C37" i="3"/>
  <c r="D18" i="3"/>
  <c r="D14" i="3"/>
  <c r="C11" i="3"/>
  <c r="B23" i="3" s="1"/>
  <c r="B8" i="3"/>
  <c r="B9" i="3" s="1"/>
  <c r="C10" i="3" s="1"/>
  <c r="B22" i="3" s="1"/>
  <c r="D5" i="3"/>
  <c r="C32" i="3" s="1"/>
  <c r="E111" i="2"/>
  <c r="B8" i="2"/>
  <c r="C38" i="4" l="1"/>
  <c r="D39" i="4" s="1"/>
  <c r="D17" i="5"/>
  <c r="C21" i="5"/>
  <c r="C22" i="5" s="1"/>
  <c r="C23" i="5" s="1"/>
  <c r="D23" i="5" s="1"/>
  <c r="D20" i="5"/>
  <c r="C19" i="5"/>
  <c r="D19" i="5" s="1"/>
  <c r="D45" i="5"/>
  <c r="D46" i="5"/>
  <c r="D47" i="5" s="1"/>
  <c r="D22" i="5"/>
  <c r="C32" i="4"/>
  <c r="D6" i="4"/>
  <c r="D44" i="4"/>
  <c r="C21" i="4"/>
  <c r="C22" i="4" s="1"/>
  <c r="C23" i="4" s="1"/>
  <c r="D23" i="4" s="1"/>
  <c r="D17" i="4"/>
  <c r="C19" i="4"/>
  <c r="D15" i="4"/>
  <c r="C16" i="4"/>
  <c r="D16" i="4" s="1"/>
  <c r="C15" i="3"/>
  <c r="D15" i="3" s="1"/>
  <c r="C38" i="3"/>
  <c r="D39" i="3" s="1"/>
  <c r="D6" i="3"/>
  <c r="H56" i="2"/>
  <c r="H58" i="2" s="1"/>
  <c r="D40" i="2"/>
  <c r="C37" i="2"/>
  <c r="D18" i="2"/>
  <c r="D14" i="2"/>
  <c r="C11" i="2"/>
  <c r="B23" i="2" s="1"/>
  <c r="B9" i="2"/>
  <c r="C10" i="2" s="1"/>
  <c r="B22" i="2" s="1"/>
  <c r="D5" i="2"/>
  <c r="D22" i="4" l="1"/>
  <c r="D19" i="4"/>
  <c r="C20" i="4"/>
  <c r="D20" i="4" s="1"/>
  <c r="D45" i="4"/>
  <c r="D46" i="4"/>
  <c r="D47" i="4" s="1"/>
  <c r="C16" i="3"/>
  <c r="D16" i="3" s="1"/>
  <c r="C17" i="3"/>
  <c r="D44" i="3"/>
  <c r="C32" i="2"/>
  <c r="D6" i="2"/>
  <c r="C15" i="2"/>
  <c r="C16" i="2" s="1"/>
  <c r="D16" i="2" s="1"/>
  <c r="C38" i="2"/>
  <c r="D39" i="2" s="1"/>
  <c r="C17" i="2" l="1"/>
  <c r="D17" i="2" s="1"/>
  <c r="D15" i="2"/>
  <c r="I54" i="5"/>
  <c r="I53" i="5"/>
  <c r="I52" i="5"/>
  <c r="I51" i="5"/>
  <c r="I57" i="5"/>
  <c r="I50" i="5"/>
  <c r="I56" i="5"/>
  <c r="I55" i="5"/>
  <c r="C19" i="3"/>
  <c r="C21" i="3"/>
  <c r="C22" i="3" s="1"/>
  <c r="D17" i="3"/>
  <c r="D46" i="3"/>
  <c r="D45" i="3"/>
  <c r="C21" i="2"/>
  <c r="C22" i="2" s="1"/>
  <c r="D44" i="2"/>
  <c r="C19" i="2" l="1"/>
  <c r="D19" i="2" s="1"/>
  <c r="I58" i="5"/>
  <c r="I61" i="5" s="1"/>
  <c r="B21" i="5" s="1"/>
  <c r="D21" i="5" s="1"/>
  <c r="D24" i="5" s="1"/>
  <c r="I54" i="4"/>
  <c r="I52" i="4"/>
  <c r="I56" i="4"/>
  <c r="I55" i="4"/>
  <c r="I53" i="4"/>
  <c r="I51" i="4"/>
  <c r="I57" i="4"/>
  <c r="I50" i="4"/>
  <c r="C23" i="3"/>
  <c r="D23" i="3" s="1"/>
  <c r="D22" i="3"/>
  <c r="C20" i="3"/>
  <c r="D20" i="3" s="1"/>
  <c r="D19" i="3"/>
  <c r="I52" i="3"/>
  <c r="I51" i="3"/>
  <c r="I50" i="3"/>
  <c r="I56" i="3"/>
  <c r="I55" i="3"/>
  <c r="I54" i="3"/>
  <c r="I53" i="3"/>
  <c r="I57" i="3"/>
  <c r="D47" i="3"/>
  <c r="C20" i="2"/>
  <c r="D20" i="2" s="1"/>
  <c r="C23" i="2"/>
  <c r="D23" i="2" s="1"/>
  <c r="D22" i="2"/>
  <c r="D46" i="2"/>
  <c r="D45" i="2"/>
  <c r="I58" i="4" l="1"/>
  <c r="I61" i="4" s="1"/>
  <c r="B21" i="4" s="1"/>
  <c r="D21" i="4" s="1"/>
  <c r="D24" i="4" s="1"/>
  <c r="D27" i="4" s="1"/>
  <c r="D27" i="5"/>
  <c r="D26" i="5"/>
  <c r="I58" i="3"/>
  <c r="I61" i="3" s="1"/>
  <c r="B21" i="3" s="1"/>
  <c r="D21" i="3" s="1"/>
  <c r="D24" i="3" s="1"/>
  <c r="I50" i="2"/>
  <c r="D47" i="2"/>
  <c r="D26" i="4" l="1"/>
  <c r="D28" i="5"/>
  <c r="D28" i="4"/>
  <c r="D27" i="3"/>
  <c r="D26" i="3"/>
  <c r="I54" i="2"/>
  <c r="I57" i="2"/>
  <c r="I55" i="2"/>
  <c r="I51" i="2"/>
  <c r="I56" i="2"/>
  <c r="I52" i="2"/>
  <c r="I53" i="2"/>
  <c r="D29" i="5" l="1"/>
  <c r="D31" i="5" s="1"/>
  <c r="D29" i="4"/>
  <c r="D31" i="4" s="1"/>
  <c r="D28" i="3"/>
  <c r="D29" i="3" s="1"/>
  <c r="D31" i="3" s="1"/>
  <c r="I58" i="2"/>
  <c r="I61" i="2" s="1"/>
  <c r="B21" i="2" s="1"/>
  <c r="D21" i="2" s="1"/>
  <c r="D24" i="2" s="1"/>
  <c r="D27" i="2" s="1"/>
  <c r="D32" i="5" l="1"/>
  <c r="L23" i="5"/>
  <c r="N23" i="5" s="1"/>
  <c r="P23" i="5" s="1"/>
  <c r="D32" i="4"/>
  <c r="M23" i="4"/>
  <c r="O23" i="4" s="1"/>
  <c r="Q23" i="4" s="1"/>
  <c r="D32" i="3"/>
  <c r="M27" i="3"/>
  <c r="O27" i="3" s="1"/>
  <c r="Q27" i="3" s="1"/>
  <c r="D26" i="2"/>
  <c r="D28" i="2" s="1"/>
  <c r="D29" i="2" l="1"/>
  <c r="D31" i="2" s="1"/>
  <c r="D32" i="2" l="1"/>
  <c r="K24" i="2"/>
  <c r="M24" i="2" s="1"/>
  <c r="O24" i="2" s="1"/>
</calcChain>
</file>

<file path=xl/comments1.xml><?xml version="1.0" encoding="utf-8"?>
<comments xmlns="http://schemas.openxmlformats.org/spreadsheetml/2006/main">
  <authors>
    <author>Oscar Emil Soares</author>
  </authors>
  <commentList>
    <comment ref="D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comments10.xml><?xml version="1.0" encoding="utf-8"?>
<comments xmlns="http://schemas.openxmlformats.org/spreadsheetml/2006/main">
  <authors>
    <author>Oscar Emil Soares</author>
  </authors>
  <commentList>
    <comment ref="D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comments11.xml><?xml version="1.0" encoding="utf-8"?>
<comments xmlns="http://schemas.openxmlformats.org/spreadsheetml/2006/main">
  <authors>
    <author>Oscar Emil Soares</author>
  </authors>
  <commentList>
    <comment ref="D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comments2.xml><?xml version="1.0" encoding="utf-8"?>
<comments xmlns="http://schemas.openxmlformats.org/spreadsheetml/2006/main">
  <authors>
    <author>Oscar Emil Soares</author>
  </authors>
  <commentList>
    <comment ref="D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comments3.xml><?xml version="1.0" encoding="utf-8"?>
<comments xmlns="http://schemas.openxmlformats.org/spreadsheetml/2006/main">
  <authors>
    <author>Oscar Emil Soares</author>
  </authors>
  <commentList>
    <comment ref="D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comments4.xml><?xml version="1.0" encoding="utf-8"?>
<comments xmlns="http://schemas.openxmlformats.org/spreadsheetml/2006/main">
  <authors>
    <author>Oscar Emil Soares</author>
  </authors>
  <commentList>
    <comment ref="D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comments5.xml><?xml version="1.0" encoding="utf-8"?>
<comments xmlns="http://schemas.openxmlformats.org/spreadsheetml/2006/main">
  <authors>
    <author>Oscar Emil Soares</author>
  </authors>
  <commentList>
    <comment ref="D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comments6.xml><?xml version="1.0" encoding="utf-8"?>
<comments xmlns="http://schemas.openxmlformats.org/spreadsheetml/2006/main">
  <authors>
    <author>Oscar Emil Soares</author>
  </authors>
  <commentList>
    <comment ref="D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comments7.xml><?xml version="1.0" encoding="utf-8"?>
<comments xmlns="http://schemas.openxmlformats.org/spreadsheetml/2006/main">
  <authors>
    <author>Oscar Emil Soares</author>
  </authors>
  <commentList>
    <comment ref="D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comments8.xml><?xml version="1.0" encoding="utf-8"?>
<comments xmlns="http://schemas.openxmlformats.org/spreadsheetml/2006/main">
  <authors>
    <author>Oscar Emil Soares</author>
  </authors>
  <commentList>
    <comment ref="D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comments9.xml><?xml version="1.0" encoding="utf-8"?>
<comments xmlns="http://schemas.openxmlformats.org/spreadsheetml/2006/main">
  <authors>
    <author>Oscar Emil Soares</author>
  </authors>
  <commentList>
    <comment ref="D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sharedStrings.xml><?xml version="1.0" encoding="utf-8"?>
<sst xmlns="http://schemas.openxmlformats.org/spreadsheetml/2006/main" count="1396" uniqueCount="162">
  <si>
    <t>Item de custo</t>
  </si>
  <si>
    <t>custo/km</t>
  </si>
  <si>
    <t>Diesel</t>
  </si>
  <si>
    <t>Manutenção geral</t>
  </si>
  <si>
    <t>Salário motorista+encargos</t>
  </si>
  <si>
    <t>R$</t>
  </si>
  <si>
    <t>lubrificação mensal</t>
  </si>
  <si>
    <t>Planilha de custos</t>
  </si>
  <si>
    <t>valor R$</t>
  </si>
  <si>
    <t>Custo aquisição máquina</t>
  </si>
  <si>
    <t>Base cálculo para depreciação</t>
  </si>
  <si>
    <t>Vida útil e valor depreciação mês</t>
  </si>
  <si>
    <t>Depreciação</t>
  </si>
  <si>
    <t>Custo de oportunidade ano/mês</t>
  </si>
  <si>
    <t>Custo de oportunidade mês</t>
  </si>
  <si>
    <t>Sub-total</t>
  </si>
  <si>
    <t>Tributos incidentes sobre a nota</t>
  </si>
  <si>
    <t>Custos indiretos</t>
  </si>
  <si>
    <t xml:space="preserve">Lucro </t>
  </si>
  <si>
    <t>Cofins 3%; Pis 0,65%; ISSQN 3%</t>
  </si>
  <si>
    <t>IPVA/DPVAT anual</t>
  </si>
  <si>
    <t>produtividade/km</t>
  </si>
  <si>
    <t>Linha 1</t>
  </si>
  <si>
    <t>kms rodados por mês</t>
  </si>
  <si>
    <t>Custo direto por km</t>
  </si>
  <si>
    <t>Total final do preço por km</t>
  </si>
  <si>
    <t>Seguro passageiros-mensal</t>
  </si>
  <si>
    <t>Faturamento mensal</t>
  </si>
  <si>
    <t>Pneus 4</t>
  </si>
  <si>
    <t>4.1</t>
  </si>
  <si>
    <t>Encargos Previdenciários e FGTS</t>
  </si>
  <si>
    <t>Percentual (%)</t>
  </si>
  <si>
    <t>Valor (R$)</t>
  </si>
  <si>
    <t>A</t>
  </si>
  <si>
    <t>INSS</t>
  </si>
  <si>
    <t>B</t>
  </si>
  <si>
    <t>SESI ou SESC</t>
  </si>
  <si>
    <t>C</t>
  </si>
  <si>
    <t>SENAI ou SENAC</t>
  </si>
  <si>
    <t>D</t>
  </si>
  <si>
    <t>INCRA</t>
  </si>
  <si>
    <t>E</t>
  </si>
  <si>
    <t>Salário educação</t>
  </si>
  <si>
    <t>F</t>
  </si>
  <si>
    <t>FGTS</t>
  </si>
  <si>
    <t>G</t>
  </si>
  <si>
    <r>
      <t xml:space="preserve">Seguro Acidente de Trabalho =                          SAT = (RAT x FAP)
</t>
    </r>
    <r>
      <rPr>
        <sz val="10"/>
        <color indexed="10"/>
        <rFont val="Arial"/>
        <family val="2"/>
      </rPr>
      <t>SAT =</t>
    </r>
    <r>
      <rPr>
        <b/>
        <sz val="10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 %Riscos Ambientais do Trabalho x Fator Acidentário de Prevenção de cada empresa )</t>
    </r>
  </si>
  <si>
    <t>RAT =</t>
  </si>
  <si>
    <t xml:space="preserve"> FAP =</t>
  </si>
  <si>
    <t>H</t>
  </si>
  <si>
    <t>SEBRAE</t>
  </si>
  <si>
    <t>TOTAL</t>
  </si>
  <si>
    <t>Insalubridade</t>
  </si>
  <si>
    <t>Vale transporte</t>
  </si>
  <si>
    <t>Vale alimentação</t>
  </si>
  <si>
    <t>Custo total remuneração</t>
  </si>
  <si>
    <t>Provisão 13º salário</t>
  </si>
  <si>
    <t>Provisão férias</t>
  </si>
  <si>
    <t>Custo total mensal com provisões</t>
  </si>
  <si>
    <t>Custo base para encargos</t>
  </si>
  <si>
    <t>Custo base funcionário</t>
  </si>
  <si>
    <t>índice de incidência ref. Utilização funcionário no contrato do município</t>
  </si>
  <si>
    <t>Detalhamento da Composição dos salários</t>
  </si>
  <si>
    <t>Custo total salárial</t>
  </si>
  <si>
    <t>DECLARAÇÕES QUE A EMPRESA LICITANTE DEVE FAZER:</t>
  </si>
  <si>
    <t>A empresa é otante pelo seguinte regime de tributação e recolhe, atualmente, as seguintes alíquotas de tributos:</t>
  </si>
  <si>
    <t>(     ) a) Lucro presumido, recolhendo: Cofins (       %); Pis (       %); IRPJ (        %); CSLL (       %). Após contratar com a prefeitura manterá estas alíquotas; (caso ocorrer alteração nas alíquotas, as mesmas serão as seguintes .......</t>
  </si>
  <si>
    <t>(     ) b) Lucro real, recolhendo: Cofins (       %); Pis (       %); IRPJ (        %); CSLL (       %). Após contratar com a prefeitura manterá estas alíquotas; (caso ocorrer alteração nas alíquotas, as mesmas serão as seguintes .......</t>
  </si>
  <si>
    <t>(     ) c) Simples nacional, recolhendo a alíquota atual de (       %), estando enquandrado no anexo (        );  Com este contrato a empresa passará a recolher aliquota (        %) e passará para o anexo (        ), não se desenquadrará do simples nacional. (OU) Após assinatura do contrato a empresa se descredenciará do simples e passará para a tributação do ..................</t>
  </si>
  <si>
    <t>Observação: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</si>
  <si>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</si>
  <si>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</si>
  <si>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</si>
  <si>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</si>
  <si>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Portanto, baseado nestes aspectos, cabe a empresa identificar quais os enquadramentos trabalhistas e tributários corretos para a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</si>
  <si>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Assim, com esta prova de má fé por parte do licitante, o município poderá desabilitar a empresa durante o processo licitatório, ou mesmo, rescindir o contrato em vigor, pelo bem do serviço público.</t>
  </si>
  <si>
    <t>Como no Brasil existem muitos sindicatos, cabe a empresa apontar em qual dissídio e sindicato, seus colaboradores serão enquadrados, observando-se as regras dos mesmos.</t>
  </si>
  <si>
    <t>kms rodados por dia</t>
  </si>
  <si>
    <t xml:space="preserve">dias por mês </t>
  </si>
  <si>
    <t>Salário base cfe convenção coletiva para 220 hs</t>
  </si>
  <si>
    <t>Salário base para 200 horas</t>
  </si>
  <si>
    <t>Desconto alimentação cfe cct</t>
  </si>
  <si>
    <t>Desconto transporte</t>
  </si>
  <si>
    <t>Linha 2</t>
  </si>
  <si>
    <t>Estimado conforme pesquisas em postos de combustível da cidade. Como o valor varia bastante, e com frequência, utilizasse como base o valor de bomba do dia, estimando-se conforme a expectativa futura de variação de preços.</t>
  </si>
  <si>
    <t>Estimativa baseada em informação de oficina mecânica especializada</t>
  </si>
  <si>
    <t>Conforme dissídio trabalhista da categoria. Detalhamento abaixo.</t>
  </si>
  <si>
    <t>Código tributário nacional</t>
  </si>
  <si>
    <t>Estimatva do mercado local</t>
  </si>
  <si>
    <t>Cálculo técnico contábil</t>
  </si>
  <si>
    <t>Segue a tabela da receita federal</t>
  </si>
  <si>
    <t>Estimativa baseada em histórico e estatísticas do setor</t>
  </si>
  <si>
    <t>Pesquisa de preços na internet, para o modelo de pneu do veículo</t>
  </si>
  <si>
    <t>pesquisa de mercado dos pneus</t>
  </si>
  <si>
    <t>Oleo lubrificante para motor, 15w40</t>
  </si>
  <si>
    <t>Depende o carro, vai de 7 a 10 litros de oleo, em cada troca, mais o filtro de oleo, mais o serviço de troca</t>
  </si>
  <si>
    <t>Estimativa baseada em informação de oficina mecânica especializada e pesquisa de preços do oleo na internet. Mais o serviço de engrachar eixos e rolamentos</t>
  </si>
  <si>
    <t>Informação de seguradora, baseado em consulta por fone</t>
  </si>
  <si>
    <t>Pesquisas de preço realizadas e comprovantes anexos:</t>
  </si>
  <si>
    <t>Cabe ressaltar que a planilha de custos elaborada pelo município é um MODELO REFERENCIAL. Por causa disso, se adota preços e valores médios de mercado.</t>
  </si>
  <si>
    <t>Não se usa por base um veículo especifico, mas sim, uma média que pode ser adotada por qualquer veículo, e ajustada em sua planilha de proposta, posteriormente.</t>
  </si>
  <si>
    <t>Não se pode e não se quer direcionar para um veículo em específico.</t>
  </si>
  <si>
    <t>Cabe a empresa vencedora apresentar sua proposta adequada a seu veículo.</t>
  </si>
  <si>
    <t>Portanto, os valores podem e IRÃO variar postoreriormente, conforme o veículo a ser utilizado pela empresa.</t>
  </si>
  <si>
    <t xml:space="preserve">Pesquisa de preços na internet, considerando o tipo do veículo, capacidade de carga, e limite de anos de utilização. Em média se utiliza preço de veículo com 8 a 12 anos de uso. </t>
  </si>
  <si>
    <t>Baseado no % da selic da época, divulgado pelo COMPOM</t>
  </si>
  <si>
    <t>Rastreador veicular. Valor mensal por veículo</t>
  </si>
  <si>
    <t>Rastreador veicular</t>
  </si>
  <si>
    <t>Conforme boleto mensal de rastreador veicular</t>
  </si>
  <si>
    <t xml:space="preserve">rastreador veicular </t>
  </si>
  <si>
    <t>kms rodados por ano - 10 meses</t>
  </si>
  <si>
    <t>kms rodados por ano em 10 meses</t>
  </si>
  <si>
    <t>Pesquisa de preços na internet, considerando o tipo do veículo, capacidade de carga, e limite de anos de utilização. Fontes dos preços ao final da planilha.</t>
  </si>
  <si>
    <t xml:space="preserve">Valores referenciais para aquisição do veículo: considerou-se veículos com ano mínimo de 2009. </t>
  </si>
  <si>
    <t>Pneus 6</t>
  </si>
  <si>
    <t>Preço médio</t>
  </si>
  <si>
    <t>para 6 pneus</t>
  </si>
  <si>
    <t>onibus 40 lugares transporte</t>
  </si>
  <si>
    <t>Valores referenciais para aquisição do veículo: considerou-se veículos com ano mínimo de 2009. 
Para comportar 40 passageiros, o veículo correto deverá ser um ônibus. Buscou-se o veículo mais indicado para as estradas não pavimentadas.</t>
  </si>
  <si>
    <t>van 24 lugares transporte</t>
  </si>
  <si>
    <t>https://veiculo.mercadolivre.com.br/MLB-5134688990-micro-urbano-ano-2014-volkswagen-9160-ibrava-24-lugares-_JM#polycard_client=search-nordic&amp;position=9&amp;search_layout=grid&amp;type=item&amp;tracking_id=33f68ac6-82e9-4022-bcfe-22101ead4946</t>
  </si>
  <si>
    <t>https://veiculo.mercadolivre.com.br/MLB-5231053740-micronibus-volks-9-160-ano-2014-motor-cumins-24-lug-_JM#polycard_client=search-nordic&amp;position=8&amp;search_layout=grid&amp;type=item&amp;tracking_id=75b61e5b-6003-4853-b46d-6ddb48ac855e</t>
  </si>
  <si>
    <t>https://veiculo.mercadolivre.com.br/MLB-3986231327-volare-w8-2017-com-ar-28-lugares-_JM#polycard_client=search-nordic&amp;position=4&amp;search_layout=grid&amp;type=item&amp;tracking_id=85b21d35-4d16-40bc-8381-9b853e8e59ab</t>
  </si>
  <si>
    <t>Média de valores: R$222.663,33</t>
  </si>
  <si>
    <t>Valor residual 30%</t>
  </si>
  <si>
    <t>Preço médio de R$ 734,82 por pneu. Para 4 pneus R$ 2.940,00</t>
  </si>
  <si>
    <t>onibus 48 lugares transporte</t>
  </si>
  <si>
    <t>Valores referenciais para aquisição do veículo: considerou-se veículos com ano mínimo de 2009. 
Para comportar 48 passageiros, o veículo correto deverá ser um ônibus. Buscou-se o veículo mais indicado para as estradas não pavimentadas.</t>
  </si>
  <si>
    <t>Média de valores: R$196.600,00</t>
  </si>
  <si>
    <t xml:space="preserve">Pneu 275 80 22.5 </t>
  </si>
  <si>
    <t>Linha 3</t>
  </si>
  <si>
    <t>Linha 4</t>
  </si>
  <si>
    <t>Linha 5</t>
  </si>
  <si>
    <t>Preço médio de R$877,97 para 4 pneus</t>
  </si>
  <si>
    <t>https://carro.mercadolivre.com.br/MLB-5203202618-im-benz-515-sprinter-_JM#polycard_client=search-nordic&amp;position=5&amp;search_layout=grid&amp;type=item&amp;tracking_id=c3a83267-9788-4830-9dbd-567991eae768</t>
  </si>
  <si>
    <t>https://carro.mercadolivre.com.br/MLB-3962855911-van-renault-master-l2h2-2015-escolar-20-lugares-completa-_JM#polycard_client=search-nordic&amp;position=5&amp;search_layout=grid&amp;type=item&amp;tracking_id=c3195af4-952b-4cbb-be7c-6290d9d8847e</t>
  </si>
  <si>
    <t>https://carro.mercadolivre.com.br/MLB-5271258888-van-renault-master-l3h2-2014-escolar-24-lugares-nibus-_JM#polycard_client=search-nordic&amp;position=8&amp;search_layout=grid&amp;type=item&amp;tracking_id=109999bc-0052-452c-b59d-ded8a6ce94d0</t>
  </si>
  <si>
    <t>Média de valores: R$ 161600,00</t>
  </si>
  <si>
    <t>Linha 7</t>
  </si>
  <si>
    <t>Linha 6</t>
  </si>
  <si>
    <t>Média de valores: R$ 153.966,00</t>
  </si>
  <si>
    <t xml:space="preserve">Valores referenciais para aquisição do veículo: considerou-se veículos com ano mínimo de 2013. </t>
  </si>
  <si>
    <t>Média de valores: R$233.300,00</t>
  </si>
  <si>
    <t>Micro onibus 30 lugares transporte</t>
  </si>
  <si>
    <t>van 12 lugares transporte</t>
  </si>
  <si>
    <t>Linha 9</t>
  </si>
  <si>
    <t>Linha 10</t>
  </si>
  <si>
    <t>Linha  8</t>
  </si>
  <si>
    <t>van 18 lugares transporte</t>
  </si>
  <si>
    <t>van 21 lugares transporte</t>
  </si>
  <si>
    <t>Linha 11</t>
  </si>
  <si>
    <t>van 5 lugares transporte</t>
  </si>
  <si>
    <t>SINDICATO TRAB TRANSP ROD INTERM INTEREST TUR FRET DO R, CNPJ n. 94.067.758/0001-90, MTE: RS004490/2025</t>
  </si>
  <si>
    <t>Pesquisa de mercado do valor do diesel através do APP Menor Preço Nota Fiscal Gaúcha - Rosário do Sul 
atualizada - 13/01/2026</t>
  </si>
  <si>
    <t>motorista</t>
  </si>
  <si>
    <t>monitor</t>
  </si>
  <si>
    <t xml:space="preserve">Calculo Km </t>
  </si>
  <si>
    <t xml:space="preserve">Valor por km </t>
  </si>
  <si>
    <t xml:space="preserve">Dias letivos ano </t>
  </si>
  <si>
    <t xml:space="preserve">Valor ano letivo </t>
  </si>
  <si>
    <t xml:space="preserve">km diario </t>
  </si>
  <si>
    <t>Valor da viagem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</si>
</sst>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;[Red]&quot;R$&quot;\ \-#,##0.00"/>
    <numFmt numFmtId="165" formatCode="_ * #,##0.00_ ;_ * \-#,##0.00_ ;_ * &quot;-&quot;??_ ;_ @_ "/>
    <numFmt numFmtId="166" formatCode="_(* #,##0.00_);_(* \(#,##0.00\);_(* &quot;-&quot;??_);_(@_)"/>
    <numFmt numFmtId="167" formatCode="0.0000"/>
    <numFmt numFmtId="168" formatCode="0.0000%"/>
    <numFmt numFmtId="169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40404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4" fillId="0" borderId="0" applyNumberForma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166" fontId="3" fillId="0" borderId="1" xfId="0" applyNumberFormat="1" applyFont="1" applyBorder="1"/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0" fillId="0" borderId="1" xfId="0" applyNumberFormat="1" applyBorder="1"/>
    <xf numFmtId="0" fontId="2" fillId="0" borderId="0" xfId="0" applyFont="1"/>
    <xf numFmtId="9" fontId="0" fillId="0" borderId="1" xfId="0" applyNumberFormat="1" applyBorder="1"/>
    <xf numFmtId="0" fontId="2" fillId="0" borderId="1" xfId="0" applyFont="1" applyBorder="1"/>
    <xf numFmtId="43" fontId="2" fillId="0" borderId="1" xfId="0" applyNumberFormat="1" applyFont="1" applyBorder="1"/>
    <xf numFmtId="10" fontId="0" fillId="0" borderId="1" xfId="0" applyNumberFormat="1" applyBorder="1"/>
    <xf numFmtId="10" fontId="3" fillId="0" borderId="0" xfId="0" applyNumberFormat="1" applyFont="1" applyAlignment="1">
      <alignment horizontal="center"/>
    </xf>
    <xf numFmtId="0" fontId="0" fillId="0" borderId="1" xfId="0" applyFill="1" applyBorder="1"/>
    <xf numFmtId="43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43" fontId="2" fillId="0" borderId="1" xfId="1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1" fillId="4" borderId="0" xfId="2" applyFont="1" applyFill="1"/>
    <xf numFmtId="0" fontId="10" fillId="4" borderId="0" xfId="2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1" fontId="0" fillId="0" borderId="0" xfId="0" applyNumberFormat="1"/>
    <xf numFmtId="169" fontId="3" fillId="0" borderId="0" xfId="0" applyNumberFormat="1" applyFont="1" applyAlignment="1">
      <alignment horizontal="center"/>
    </xf>
    <xf numFmtId="0" fontId="14" fillId="0" borderId="0" xfId="3"/>
    <xf numFmtId="0" fontId="0" fillId="0" borderId="0" xfId="0" applyBorder="1"/>
    <xf numFmtId="0" fontId="14" fillId="0" borderId="8" xfId="3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8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center"/>
    </xf>
    <xf numFmtId="10" fontId="0" fillId="0" borderId="1" xfId="1" applyNumberFormat="1" applyFont="1" applyBorder="1"/>
    <xf numFmtId="0" fontId="3" fillId="0" borderId="0" xfId="0" applyFont="1" applyAlignment="1">
      <alignment horizontal="center"/>
    </xf>
    <xf numFmtId="43" fontId="0" fillId="0" borderId="2" xfId="0" applyNumberFormat="1" applyBorder="1"/>
    <xf numFmtId="0" fontId="0" fillId="0" borderId="2" xfId="0" applyBorder="1"/>
    <xf numFmtId="43" fontId="2" fillId="0" borderId="2" xfId="0" applyNumberFormat="1" applyFont="1" applyBorder="1"/>
    <xf numFmtId="43" fontId="0" fillId="0" borderId="2" xfId="1" applyFont="1" applyBorder="1"/>
    <xf numFmtId="165" fontId="0" fillId="0" borderId="1" xfId="0" applyNumberForma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/>
    <xf numFmtId="0" fontId="0" fillId="0" borderId="8" xfId="0" applyBorder="1" applyAlignment="1"/>
    <xf numFmtId="0" fontId="13" fillId="0" borderId="0" xfId="0" applyFont="1" applyAlignment="1"/>
    <xf numFmtId="0" fontId="0" fillId="0" borderId="8" xfId="0" applyBorder="1" applyAlignment="1">
      <alignment horizontal="left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169" fontId="0" fillId="0" borderId="1" xfId="0" applyNumberFormat="1" applyBorder="1"/>
  </cellXfs>
  <cellStyles count="4">
    <cellStyle name="Excel Built-in Normal" xfId="2"/>
    <cellStyle name="Hiperlink" xfId="3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1.png"/><Relationship Id="rId1" Type="http://schemas.openxmlformats.org/officeDocument/2006/relationships/image" Target="../media/image2.png"/><Relationship Id="rId4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1.png"/><Relationship Id="rId1" Type="http://schemas.openxmlformats.org/officeDocument/2006/relationships/image" Target="../media/image2.png"/><Relationship Id="rId6" Type="http://schemas.openxmlformats.org/officeDocument/2006/relationships/image" Target="../media/image6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6.jpeg"/><Relationship Id="rId2" Type="http://schemas.openxmlformats.org/officeDocument/2006/relationships/image" Target="../media/image7.png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6.jpeg"/><Relationship Id="rId2" Type="http://schemas.openxmlformats.org/officeDocument/2006/relationships/image" Target="../media/image7.png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6.jpeg"/><Relationship Id="rId2" Type="http://schemas.openxmlformats.org/officeDocument/2006/relationships/image" Target="../media/image7.png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1.png"/><Relationship Id="rId1" Type="http://schemas.openxmlformats.org/officeDocument/2006/relationships/image" Target="../media/image2.png"/><Relationship Id="rId4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6.jpeg"/><Relationship Id="rId2" Type="http://schemas.openxmlformats.org/officeDocument/2006/relationships/image" Target="../media/image12.png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openxmlformats.org/officeDocument/2006/relationships/image" Target="../media/image10.png"/><Relationship Id="rId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6.jpeg"/><Relationship Id="rId2" Type="http://schemas.openxmlformats.org/officeDocument/2006/relationships/image" Target="../media/image12.png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openxmlformats.org/officeDocument/2006/relationships/image" Target="../media/image10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113</xdr:row>
      <xdr:rowOff>0</xdr:rowOff>
    </xdr:from>
    <xdr:to>
      <xdr:col>4</xdr:col>
      <xdr:colOff>1431536</xdr:colOff>
      <xdr:row>125</xdr:row>
      <xdr:rowOff>38100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58220"/>
          <a:ext cx="6315956" cy="22326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106680</xdr:rowOff>
    </xdr:from>
    <xdr:to>
      <xdr:col>3</xdr:col>
      <xdr:colOff>213360</xdr:colOff>
      <xdr:row>145</xdr:row>
      <xdr:rowOff>0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073860"/>
          <a:ext cx="4373880" cy="2636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5" name="AutoShap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96519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5</xdr:col>
      <xdr:colOff>467715</xdr:colOff>
      <xdr:row>166</xdr:row>
      <xdr:rowOff>83820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1981140"/>
          <a:ext cx="7097115" cy="246126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153</xdr:row>
      <xdr:rowOff>0</xdr:rowOff>
    </xdr:from>
    <xdr:to>
      <xdr:col>11</xdr:col>
      <xdr:colOff>248126</xdr:colOff>
      <xdr:row>166</xdr:row>
      <xdr:rowOff>106680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0" y="31981140"/>
          <a:ext cx="3410426" cy="248412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171</xdr:row>
      <xdr:rowOff>7620</xdr:rowOff>
    </xdr:from>
    <xdr:to>
      <xdr:col>11</xdr:col>
      <xdr:colOff>38100</xdr:colOff>
      <xdr:row>184</xdr:row>
      <xdr:rowOff>168246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" y="34183320"/>
          <a:ext cx="10424160" cy="253806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91</xdr:row>
      <xdr:rowOff>9525</xdr:rowOff>
    </xdr:from>
    <xdr:to>
      <xdr:col>1</xdr:col>
      <xdr:colOff>574632</xdr:colOff>
      <xdr:row>110</xdr:row>
      <xdr:rowOff>114300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291"/>
        <a:stretch/>
      </xdr:blipFill>
      <xdr:spPr>
        <a:xfrm>
          <a:off x="200025" y="19421475"/>
          <a:ext cx="2527257" cy="3724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130</xdr:row>
      <xdr:rowOff>106680</xdr:rowOff>
    </xdr:from>
    <xdr:to>
      <xdr:col>3</xdr:col>
      <xdr:colOff>213360</xdr:colOff>
      <xdr:row>145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167080"/>
          <a:ext cx="4373880" cy="2636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7452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113</xdr:row>
      <xdr:rowOff>22861</xdr:rowOff>
    </xdr:from>
    <xdr:to>
      <xdr:col>6</xdr:col>
      <xdr:colOff>320040</xdr:colOff>
      <xdr:row>127</xdr:row>
      <xdr:rowOff>114301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974301"/>
          <a:ext cx="7559040" cy="26517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11</xdr:col>
      <xdr:colOff>22860</xdr:colOff>
      <xdr:row>172</xdr:row>
      <xdr:rowOff>160626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5829240"/>
          <a:ext cx="10424160" cy="25380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12" name="AutoShap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547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374607</xdr:colOff>
      <xdr:row>110</xdr:row>
      <xdr:rowOff>104775</xdr:rowOff>
    </xdr:to>
    <xdr:pic>
      <xdr:nvPicPr>
        <xdr:cNvPr id="8" name="Imagem 7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291"/>
        <a:stretch/>
      </xdr:blipFill>
      <xdr:spPr>
        <a:xfrm>
          <a:off x="0" y="19611975"/>
          <a:ext cx="2527257" cy="37242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130</xdr:row>
      <xdr:rowOff>106680</xdr:rowOff>
    </xdr:from>
    <xdr:to>
      <xdr:col>2</xdr:col>
      <xdr:colOff>1118235</xdr:colOff>
      <xdr:row>145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148155"/>
          <a:ext cx="4251960" cy="2750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942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113</xdr:row>
      <xdr:rowOff>22861</xdr:rowOff>
    </xdr:from>
    <xdr:to>
      <xdr:col>5</xdr:col>
      <xdr:colOff>558165</xdr:colOff>
      <xdr:row>127</xdr:row>
      <xdr:rowOff>114301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825836"/>
          <a:ext cx="7368540" cy="2758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23812</xdr:rowOff>
    </xdr:from>
    <xdr:to>
      <xdr:col>9</xdr:col>
      <xdr:colOff>582453</xdr:colOff>
      <xdr:row>170</xdr:row>
      <xdr:rowOff>184438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206531"/>
          <a:ext cx="10178891" cy="26371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6" name="AutoShap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942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35720</xdr:colOff>
      <xdr:row>172</xdr:row>
      <xdr:rowOff>178593</xdr:rowOff>
    </xdr:from>
    <xdr:to>
      <xdr:col>10</xdr:col>
      <xdr:colOff>595313</xdr:colOff>
      <xdr:row>187</xdr:row>
      <xdr:rowOff>119062</xdr:rowOff>
    </xdr:to>
    <xdr:sp macro="" textlink="">
      <xdr:nvSpPr>
        <xdr:cNvPr id="8" name="CaixaDeTexto 7"/>
        <xdr:cNvSpPr txBox="1"/>
      </xdr:nvSpPr>
      <xdr:spPr>
        <a:xfrm>
          <a:off x="35720" y="36218812"/>
          <a:ext cx="10394156" cy="27979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 editAs="oneCell">
    <xdr:from>
      <xdr:col>0</xdr:col>
      <xdr:colOff>35719</xdr:colOff>
      <xdr:row>172</xdr:row>
      <xdr:rowOff>178593</xdr:rowOff>
    </xdr:from>
    <xdr:to>
      <xdr:col>5</xdr:col>
      <xdr:colOff>143389</xdr:colOff>
      <xdr:row>186</xdr:row>
      <xdr:rowOff>71913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719" y="36218812"/>
          <a:ext cx="6906139" cy="2560320"/>
        </a:xfrm>
        <a:prstGeom prst="rect">
          <a:avLst/>
        </a:prstGeom>
      </xdr:spPr>
    </xdr:pic>
    <xdr:clientData/>
  </xdr:twoCellAnchor>
  <xdr:twoCellAnchor editAs="oneCell">
    <xdr:from>
      <xdr:col>5</xdr:col>
      <xdr:colOff>511969</xdr:colOff>
      <xdr:row>172</xdr:row>
      <xdr:rowOff>178593</xdr:rowOff>
    </xdr:from>
    <xdr:to>
      <xdr:col>10</xdr:col>
      <xdr:colOff>474345</xdr:colOff>
      <xdr:row>186</xdr:row>
      <xdr:rowOff>94773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41344" y="36218812"/>
          <a:ext cx="3367563" cy="2583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372226</xdr:colOff>
      <xdr:row>110</xdr:row>
      <xdr:rowOff>104775</xdr:rowOff>
    </xdr:to>
    <xdr:pic>
      <xdr:nvPicPr>
        <xdr:cNvPr id="11" name="Imagem 1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291"/>
        <a:stretch/>
      </xdr:blipFill>
      <xdr:spPr>
        <a:xfrm>
          <a:off x="0" y="19621500"/>
          <a:ext cx="2527257" cy="3724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128</xdr:row>
      <xdr:rowOff>114300</xdr:rowOff>
    </xdr:from>
    <xdr:to>
      <xdr:col>3</xdr:col>
      <xdr:colOff>213360</xdr:colOff>
      <xdr:row>143</xdr:row>
      <xdr:rowOff>7621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553420"/>
          <a:ext cx="4373880" cy="2636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304800</xdr:colOff>
      <xdr:row>90</xdr:row>
      <xdr:rowOff>121920</xdr:rowOff>
    </xdr:to>
    <xdr:sp macro="" textlink="">
      <xdr:nvSpPr>
        <xdr:cNvPr id="2053" name="AutoShape 5" descr="blob:https://web.whatsapp.com/c926b201-3171-40d5-8d09-f5e24b06ad2d"/>
        <xdr:cNvSpPr>
          <a:spLocks noChangeAspect="1" noChangeArrowheads="1"/>
        </xdr:cNvSpPr>
      </xdr:nvSpPr>
      <xdr:spPr bwMode="auto">
        <a:xfrm>
          <a:off x="0" y="198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6626</xdr:colOff>
      <xdr:row>146</xdr:row>
      <xdr:rowOff>6626</xdr:rowOff>
    </xdr:from>
    <xdr:to>
      <xdr:col>8</xdr:col>
      <xdr:colOff>304800</xdr:colOff>
      <xdr:row>149</xdr:row>
      <xdr:rowOff>11944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9809" y="30698661"/>
          <a:ext cx="5294243" cy="2172048"/>
        </a:xfrm>
        <a:prstGeom prst="rect">
          <a:avLst/>
        </a:prstGeom>
      </xdr:spPr>
    </xdr:pic>
    <xdr:clientData/>
  </xdr:twoCellAnchor>
  <xdr:twoCellAnchor editAs="oneCell">
    <xdr:from>
      <xdr:col>7</xdr:col>
      <xdr:colOff>125896</xdr:colOff>
      <xdr:row>145</xdr:row>
      <xdr:rowOff>139147</xdr:rowOff>
    </xdr:from>
    <xdr:to>
      <xdr:col>10</xdr:col>
      <xdr:colOff>682486</xdr:colOff>
      <xdr:row>148</xdr:row>
      <xdr:rowOff>127063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59757" y="30645651"/>
          <a:ext cx="2564295" cy="2154647"/>
        </a:xfrm>
        <a:prstGeom prst="rect">
          <a:avLst/>
        </a:prstGeom>
      </xdr:spPr>
    </xdr:pic>
    <xdr:clientData/>
  </xdr:twoCellAnchor>
  <xdr:twoCellAnchor editAs="oneCell">
    <xdr:from>
      <xdr:col>10</xdr:col>
      <xdr:colOff>576471</xdr:colOff>
      <xdr:row>143</xdr:row>
      <xdr:rowOff>152400</xdr:rowOff>
    </xdr:from>
    <xdr:to>
      <xdr:col>12</xdr:col>
      <xdr:colOff>517250</xdr:colOff>
      <xdr:row>149</xdr:row>
      <xdr:rowOff>33130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91532" y="30287843"/>
          <a:ext cx="2007704" cy="26040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1</xdr:rowOff>
    </xdr:from>
    <xdr:to>
      <xdr:col>4</xdr:col>
      <xdr:colOff>1087931</xdr:colOff>
      <xdr:row>125</xdr:row>
      <xdr:rowOff>165653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4384001"/>
          <a:ext cx="6011114" cy="25775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304800</xdr:colOff>
      <xdr:row>89</xdr:row>
      <xdr:rowOff>114300</xdr:rowOff>
    </xdr:to>
    <xdr:sp macro="" textlink="">
      <xdr:nvSpPr>
        <xdr:cNvPr id="11" name="AutoShap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547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8</xdr:col>
      <xdr:colOff>504908</xdr:colOff>
      <xdr:row>167</xdr:row>
      <xdr:rowOff>126170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2182904"/>
          <a:ext cx="10424160" cy="25380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304800</xdr:colOff>
      <xdr:row>89</xdr:row>
      <xdr:rowOff>114300</xdr:rowOff>
    </xdr:to>
    <xdr:sp macro="" textlink="">
      <xdr:nvSpPr>
        <xdr:cNvPr id="20" name="AutoShap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547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581025</xdr:colOff>
      <xdr:row>89</xdr:row>
      <xdr:rowOff>9525</xdr:rowOff>
    </xdr:from>
    <xdr:to>
      <xdr:col>2</xdr:col>
      <xdr:colOff>203157</xdr:colOff>
      <xdr:row>108</xdr:row>
      <xdr:rowOff>114300</xdr:rowOff>
    </xdr:to>
    <xdr:pic>
      <xdr:nvPicPr>
        <xdr:cNvPr id="13" name="Imagem 12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291"/>
        <a:stretch/>
      </xdr:blipFill>
      <xdr:spPr>
        <a:xfrm>
          <a:off x="581025" y="18669000"/>
          <a:ext cx="2527257" cy="3724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128</xdr:row>
      <xdr:rowOff>114300</xdr:rowOff>
    </xdr:from>
    <xdr:to>
      <xdr:col>3</xdr:col>
      <xdr:colOff>213360</xdr:colOff>
      <xdr:row>143</xdr:row>
      <xdr:rowOff>7621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142440"/>
          <a:ext cx="4373880" cy="2636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304800</xdr:colOff>
      <xdr:row>90</xdr:row>
      <xdr:rowOff>121920</xdr:rowOff>
    </xdr:to>
    <xdr:sp macro="" textlink="">
      <xdr:nvSpPr>
        <xdr:cNvPr id="4" name="AutoShape 5" descr="blob:https://web.whatsapp.com/c926b201-3171-40d5-8d09-f5e24b06ad2d"/>
        <xdr:cNvSpPr>
          <a:spLocks noChangeAspect="1" noChangeArrowheads="1"/>
        </xdr:cNvSpPr>
      </xdr:nvSpPr>
      <xdr:spPr bwMode="auto">
        <a:xfrm>
          <a:off x="0" y="198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6626</xdr:colOff>
      <xdr:row>146</xdr:row>
      <xdr:rowOff>6626</xdr:rowOff>
    </xdr:from>
    <xdr:to>
      <xdr:col>11</xdr:col>
      <xdr:colOff>76531</xdr:colOff>
      <xdr:row>157</xdr:row>
      <xdr:rowOff>164344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9146" y="30326606"/>
          <a:ext cx="5297225" cy="2169398"/>
        </a:xfrm>
        <a:prstGeom prst="rect">
          <a:avLst/>
        </a:prstGeom>
      </xdr:spPr>
    </xdr:pic>
    <xdr:clientData/>
  </xdr:twoCellAnchor>
  <xdr:twoCellAnchor editAs="oneCell">
    <xdr:from>
      <xdr:col>7</xdr:col>
      <xdr:colOff>125896</xdr:colOff>
      <xdr:row>145</xdr:row>
      <xdr:rowOff>139147</xdr:rowOff>
    </xdr:from>
    <xdr:to>
      <xdr:col>11</xdr:col>
      <xdr:colOff>76531</xdr:colOff>
      <xdr:row>157</xdr:row>
      <xdr:rowOff>96583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62076" y="30276247"/>
          <a:ext cx="2564295" cy="2151996"/>
        </a:xfrm>
        <a:prstGeom prst="rect">
          <a:avLst/>
        </a:prstGeom>
      </xdr:spPr>
    </xdr:pic>
    <xdr:clientData/>
  </xdr:twoCellAnchor>
  <xdr:twoCellAnchor editAs="oneCell">
    <xdr:from>
      <xdr:col>10</xdr:col>
      <xdr:colOff>576471</xdr:colOff>
      <xdr:row>143</xdr:row>
      <xdr:rowOff>152400</xdr:rowOff>
    </xdr:from>
    <xdr:to>
      <xdr:col>13</xdr:col>
      <xdr:colOff>241025</xdr:colOff>
      <xdr:row>158</xdr:row>
      <xdr:rowOff>2650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93851" y="29923740"/>
          <a:ext cx="2007704" cy="2593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1</xdr:rowOff>
    </xdr:from>
    <xdr:to>
      <xdr:col>4</xdr:col>
      <xdr:colOff>1087931</xdr:colOff>
      <xdr:row>125</xdr:row>
      <xdr:rowOff>165653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4102061"/>
          <a:ext cx="6010451" cy="2543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304800</xdr:colOff>
      <xdr:row>89</xdr:row>
      <xdr:rowOff>114300</xdr:rowOff>
    </xdr:to>
    <xdr:sp macro="" textlink="">
      <xdr:nvSpPr>
        <xdr:cNvPr id="10" name="AutoShap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547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11</xdr:col>
      <xdr:colOff>274320</xdr:colOff>
      <xdr:row>172</xdr:row>
      <xdr:rowOff>160626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2362140"/>
          <a:ext cx="10424160" cy="25380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304800</xdr:colOff>
      <xdr:row>89</xdr:row>
      <xdr:rowOff>114300</xdr:rowOff>
    </xdr:to>
    <xdr:sp macro="" textlink="">
      <xdr:nvSpPr>
        <xdr:cNvPr id="16" name="AutoShap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547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381000</xdr:colOff>
      <xdr:row>89</xdr:row>
      <xdr:rowOff>9525</xdr:rowOff>
    </xdr:from>
    <xdr:to>
      <xdr:col>2</xdr:col>
      <xdr:colOff>3132</xdr:colOff>
      <xdr:row>108</xdr:row>
      <xdr:rowOff>114300</xdr:rowOff>
    </xdr:to>
    <xdr:pic>
      <xdr:nvPicPr>
        <xdr:cNvPr id="12" name="Imagem 11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291"/>
        <a:stretch/>
      </xdr:blipFill>
      <xdr:spPr>
        <a:xfrm>
          <a:off x="381000" y="18602325"/>
          <a:ext cx="2527257" cy="3724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128</xdr:row>
      <xdr:rowOff>114300</xdr:rowOff>
    </xdr:from>
    <xdr:to>
      <xdr:col>3</xdr:col>
      <xdr:colOff>213360</xdr:colOff>
      <xdr:row>143</xdr:row>
      <xdr:rowOff>7621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142440"/>
          <a:ext cx="4373880" cy="2636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304800</xdr:colOff>
      <xdr:row>90</xdr:row>
      <xdr:rowOff>121920</xdr:rowOff>
    </xdr:to>
    <xdr:sp macro="" textlink="">
      <xdr:nvSpPr>
        <xdr:cNvPr id="4" name="AutoShape 5" descr="blob:https://web.whatsapp.com/c926b201-3171-40d5-8d09-f5e24b06ad2d"/>
        <xdr:cNvSpPr>
          <a:spLocks noChangeAspect="1" noChangeArrowheads="1"/>
        </xdr:cNvSpPr>
      </xdr:nvSpPr>
      <xdr:spPr bwMode="auto">
        <a:xfrm>
          <a:off x="0" y="198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6626</xdr:colOff>
      <xdr:row>146</xdr:row>
      <xdr:rowOff>6626</xdr:rowOff>
    </xdr:from>
    <xdr:to>
      <xdr:col>11</xdr:col>
      <xdr:colOff>76531</xdr:colOff>
      <xdr:row>166</xdr:row>
      <xdr:rowOff>133864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9146" y="30326606"/>
          <a:ext cx="5297225" cy="3784838"/>
        </a:xfrm>
        <a:prstGeom prst="rect">
          <a:avLst/>
        </a:prstGeom>
      </xdr:spPr>
    </xdr:pic>
    <xdr:clientData/>
  </xdr:twoCellAnchor>
  <xdr:twoCellAnchor editAs="oneCell">
    <xdr:from>
      <xdr:col>7</xdr:col>
      <xdr:colOff>125896</xdr:colOff>
      <xdr:row>145</xdr:row>
      <xdr:rowOff>139147</xdr:rowOff>
    </xdr:from>
    <xdr:to>
      <xdr:col>11</xdr:col>
      <xdr:colOff>76531</xdr:colOff>
      <xdr:row>166</xdr:row>
      <xdr:rowOff>66103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62076" y="30276247"/>
          <a:ext cx="2564295" cy="3767436"/>
        </a:xfrm>
        <a:prstGeom prst="rect">
          <a:avLst/>
        </a:prstGeom>
      </xdr:spPr>
    </xdr:pic>
    <xdr:clientData/>
  </xdr:twoCellAnchor>
  <xdr:twoCellAnchor editAs="oneCell">
    <xdr:from>
      <xdr:col>10</xdr:col>
      <xdr:colOff>576471</xdr:colOff>
      <xdr:row>143</xdr:row>
      <xdr:rowOff>152400</xdr:rowOff>
    </xdr:from>
    <xdr:to>
      <xdr:col>13</xdr:col>
      <xdr:colOff>326750</xdr:colOff>
      <xdr:row>166</xdr:row>
      <xdr:rowOff>155050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93851" y="29923740"/>
          <a:ext cx="2007704" cy="42088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1</xdr:rowOff>
    </xdr:from>
    <xdr:to>
      <xdr:col>4</xdr:col>
      <xdr:colOff>1087931</xdr:colOff>
      <xdr:row>125</xdr:row>
      <xdr:rowOff>165653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4102061"/>
          <a:ext cx="6010451" cy="2543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53340</xdr:rowOff>
    </xdr:from>
    <xdr:to>
      <xdr:col>11</xdr:col>
      <xdr:colOff>274320</xdr:colOff>
      <xdr:row>180</xdr:row>
      <xdr:rowOff>31086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3619440"/>
          <a:ext cx="10424160" cy="25380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304800</xdr:colOff>
      <xdr:row>89</xdr:row>
      <xdr:rowOff>114300</xdr:rowOff>
    </xdr:to>
    <xdr:sp macro="" textlink="">
      <xdr:nvSpPr>
        <xdr:cNvPr id="15" name="AutoShap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547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371475</xdr:colOff>
      <xdr:row>88</xdr:row>
      <xdr:rowOff>180975</xdr:rowOff>
    </xdr:from>
    <xdr:to>
      <xdr:col>1</xdr:col>
      <xdr:colOff>746082</xdr:colOff>
      <xdr:row>108</xdr:row>
      <xdr:rowOff>95250</xdr:rowOff>
    </xdr:to>
    <xdr:pic>
      <xdr:nvPicPr>
        <xdr:cNvPr id="11" name="Imagem 10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291"/>
        <a:stretch/>
      </xdr:blipFill>
      <xdr:spPr>
        <a:xfrm>
          <a:off x="371475" y="18507075"/>
          <a:ext cx="2527257" cy="3724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113</xdr:row>
      <xdr:rowOff>0</xdr:rowOff>
    </xdr:from>
    <xdr:to>
      <xdr:col>4</xdr:col>
      <xdr:colOff>1431536</xdr:colOff>
      <xdr:row>125</xdr:row>
      <xdr:rowOff>38100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58220"/>
          <a:ext cx="6315956" cy="22326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106680</xdr:rowOff>
    </xdr:from>
    <xdr:to>
      <xdr:col>3</xdr:col>
      <xdr:colOff>213360</xdr:colOff>
      <xdr:row>145</xdr:row>
      <xdr:rowOff>0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073860"/>
          <a:ext cx="4373880" cy="2636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5" name="AutoShap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96519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5</xdr:col>
      <xdr:colOff>467715</xdr:colOff>
      <xdr:row>166</xdr:row>
      <xdr:rowOff>83820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1981140"/>
          <a:ext cx="7097115" cy="246126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153</xdr:row>
      <xdr:rowOff>0</xdr:rowOff>
    </xdr:from>
    <xdr:to>
      <xdr:col>11</xdr:col>
      <xdr:colOff>248126</xdr:colOff>
      <xdr:row>166</xdr:row>
      <xdr:rowOff>106680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0" y="31981140"/>
          <a:ext cx="3410426" cy="2484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83820</xdr:rowOff>
    </xdr:from>
    <xdr:to>
      <xdr:col>11</xdr:col>
      <xdr:colOff>22860</xdr:colOff>
      <xdr:row>185</xdr:row>
      <xdr:rowOff>61566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5356800"/>
          <a:ext cx="10424160" cy="25380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14" name="AutoShap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547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91</xdr:row>
      <xdr:rowOff>47625</xdr:rowOff>
    </xdr:from>
    <xdr:to>
      <xdr:col>1</xdr:col>
      <xdr:colOff>498432</xdr:colOff>
      <xdr:row>110</xdr:row>
      <xdr:rowOff>152400</xdr:rowOff>
    </xdr:to>
    <xdr:pic>
      <xdr:nvPicPr>
        <xdr:cNvPr id="12" name="Imagem 1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291"/>
        <a:stretch/>
      </xdr:blipFill>
      <xdr:spPr>
        <a:xfrm>
          <a:off x="123825" y="18211800"/>
          <a:ext cx="2527257" cy="3724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130</xdr:row>
      <xdr:rowOff>106680</xdr:rowOff>
    </xdr:from>
    <xdr:to>
      <xdr:col>3</xdr:col>
      <xdr:colOff>213360</xdr:colOff>
      <xdr:row>145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073860"/>
          <a:ext cx="4373880" cy="2636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96519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113</xdr:row>
      <xdr:rowOff>22861</xdr:rowOff>
    </xdr:from>
    <xdr:to>
      <xdr:col>6</xdr:col>
      <xdr:colOff>320040</xdr:colOff>
      <xdr:row>127</xdr:row>
      <xdr:rowOff>114301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881081"/>
          <a:ext cx="7559040" cy="26517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11</xdr:col>
      <xdr:colOff>22860</xdr:colOff>
      <xdr:row>171</xdr:row>
      <xdr:rowOff>160626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5829240"/>
          <a:ext cx="10424160" cy="25380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12" name="AutoShap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547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4</xdr:col>
      <xdr:colOff>688932</xdr:colOff>
      <xdr:row>110</xdr:row>
      <xdr:rowOff>104775</xdr:rowOff>
    </xdr:to>
    <xdr:pic>
      <xdr:nvPicPr>
        <xdr:cNvPr id="8" name="Imagem 7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291"/>
        <a:stretch/>
      </xdr:blipFill>
      <xdr:spPr>
        <a:xfrm>
          <a:off x="2905125" y="18583275"/>
          <a:ext cx="2527257" cy="3724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130</xdr:row>
      <xdr:rowOff>106680</xdr:rowOff>
    </xdr:from>
    <xdr:to>
      <xdr:col>3</xdr:col>
      <xdr:colOff>213360</xdr:colOff>
      <xdr:row>145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073860"/>
          <a:ext cx="4373880" cy="2636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96519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152</xdr:row>
      <xdr:rowOff>7620</xdr:rowOff>
    </xdr:from>
    <xdr:to>
      <xdr:col>1</xdr:col>
      <xdr:colOff>15240</xdr:colOff>
      <xdr:row>169</xdr:row>
      <xdr:rowOff>25458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805880"/>
          <a:ext cx="2232660" cy="3126798"/>
        </a:xfrm>
        <a:prstGeom prst="rect">
          <a:avLst/>
        </a:prstGeom>
      </xdr:spPr>
    </xdr:pic>
    <xdr:clientData/>
  </xdr:twoCellAnchor>
  <xdr:twoCellAnchor editAs="oneCell">
    <xdr:from>
      <xdr:col>0</xdr:col>
      <xdr:colOff>2202181</xdr:colOff>
      <xdr:row>152</xdr:row>
      <xdr:rowOff>22860</xdr:rowOff>
    </xdr:from>
    <xdr:to>
      <xdr:col>3</xdr:col>
      <xdr:colOff>152401</xdr:colOff>
      <xdr:row>170</xdr:row>
      <xdr:rowOff>38100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02181" y="31821120"/>
          <a:ext cx="2110740" cy="330708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151</xdr:row>
      <xdr:rowOff>129540</xdr:rowOff>
    </xdr:from>
    <xdr:to>
      <xdr:col>6</xdr:col>
      <xdr:colOff>484346</xdr:colOff>
      <xdr:row>170</xdr:row>
      <xdr:rowOff>99060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12920" y="31744920"/>
          <a:ext cx="3410426" cy="3444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1</xdr:rowOff>
    </xdr:from>
    <xdr:to>
      <xdr:col>4</xdr:col>
      <xdr:colOff>1126031</xdr:colOff>
      <xdr:row>126</xdr:row>
      <xdr:rowOff>165653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4102061"/>
          <a:ext cx="6010451" cy="2543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11</xdr:col>
      <xdr:colOff>22860</xdr:colOff>
      <xdr:row>192</xdr:row>
      <xdr:rowOff>160626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4610040"/>
          <a:ext cx="10424160" cy="25380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16" name="AutoShap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547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374607</xdr:colOff>
      <xdr:row>110</xdr:row>
      <xdr:rowOff>104775</xdr:rowOff>
    </xdr:to>
    <xdr:pic>
      <xdr:nvPicPr>
        <xdr:cNvPr id="11" name="Imagem 10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291"/>
        <a:stretch/>
      </xdr:blipFill>
      <xdr:spPr>
        <a:xfrm>
          <a:off x="0" y="18402300"/>
          <a:ext cx="2527257" cy="3724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113</xdr:row>
      <xdr:rowOff>0</xdr:rowOff>
    </xdr:from>
    <xdr:to>
      <xdr:col>4</xdr:col>
      <xdr:colOff>1431536</xdr:colOff>
      <xdr:row>125</xdr:row>
      <xdr:rowOff>38100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58220"/>
          <a:ext cx="6315956" cy="22326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106680</xdr:rowOff>
    </xdr:from>
    <xdr:to>
      <xdr:col>3</xdr:col>
      <xdr:colOff>213360</xdr:colOff>
      <xdr:row>145</xdr:row>
      <xdr:rowOff>0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073860"/>
          <a:ext cx="4373880" cy="2636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5" name="AutoShap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96519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160</xdr:row>
      <xdr:rowOff>0</xdr:rowOff>
    </xdr:from>
    <xdr:to>
      <xdr:col>10</xdr:col>
      <xdr:colOff>632460</xdr:colOff>
      <xdr:row>173</xdr:row>
      <xdr:rowOff>160626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5913060"/>
          <a:ext cx="10424160" cy="25380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12" name="AutoShap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547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374607</xdr:colOff>
      <xdr:row>110</xdr:row>
      <xdr:rowOff>104775</xdr:rowOff>
    </xdr:to>
    <xdr:pic>
      <xdr:nvPicPr>
        <xdr:cNvPr id="8" name="Imagem 7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291"/>
        <a:stretch/>
      </xdr:blipFill>
      <xdr:spPr>
        <a:xfrm>
          <a:off x="0" y="19688175"/>
          <a:ext cx="2527257" cy="3724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130</xdr:row>
      <xdr:rowOff>106680</xdr:rowOff>
    </xdr:from>
    <xdr:to>
      <xdr:col>3</xdr:col>
      <xdr:colOff>213360</xdr:colOff>
      <xdr:row>145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947880"/>
          <a:ext cx="4373880" cy="2636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75183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152</xdr:row>
      <xdr:rowOff>7620</xdr:rowOff>
    </xdr:from>
    <xdr:to>
      <xdr:col>1</xdr:col>
      <xdr:colOff>15240</xdr:colOff>
      <xdr:row>169</xdr:row>
      <xdr:rowOff>25458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9679900"/>
          <a:ext cx="2232660" cy="3126798"/>
        </a:xfrm>
        <a:prstGeom prst="rect">
          <a:avLst/>
        </a:prstGeom>
      </xdr:spPr>
    </xdr:pic>
    <xdr:clientData/>
  </xdr:twoCellAnchor>
  <xdr:twoCellAnchor editAs="oneCell">
    <xdr:from>
      <xdr:col>0</xdr:col>
      <xdr:colOff>2202181</xdr:colOff>
      <xdr:row>152</xdr:row>
      <xdr:rowOff>22860</xdr:rowOff>
    </xdr:from>
    <xdr:to>
      <xdr:col>3</xdr:col>
      <xdr:colOff>152401</xdr:colOff>
      <xdr:row>170</xdr:row>
      <xdr:rowOff>38100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02181" y="29695140"/>
          <a:ext cx="2110740" cy="330708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151</xdr:row>
      <xdr:rowOff>129540</xdr:rowOff>
    </xdr:from>
    <xdr:to>
      <xdr:col>6</xdr:col>
      <xdr:colOff>484346</xdr:colOff>
      <xdr:row>170</xdr:row>
      <xdr:rowOff>99060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12920" y="29618940"/>
          <a:ext cx="3410426" cy="3444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1</xdr:rowOff>
    </xdr:from>
    <xdr:to>
      <xdr:col>4</xdr:col>
      <xdr:colOff>1126031</xdr:colOff>
      <xdr:row>126</xdr:row>
      <xdr:rowOff>165653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1732241"/>
          <a:ext cx="6010451" cy="2543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11</xdr:col>
      <xdr:colOff>22860</xdr:colOff>
      <xdr:row>192</xdr:row>
      <xdr:rowOff>160626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4610040"/>
          <a:ext cx="10424160" cy="25380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15" name="AutoShap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547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374607</xdr:colOff>
      <xdr:row>110</xdr:row>
      <xdr:rowOff>104775</xdr:rowOff>
    </xdr:to>
    <xdr:pic>
      <xdr:nvPicPr>
        <xdr:cNvPr id="11" name="Imagem 10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291"/>
        <a:stretch/>
      </xdr:blipFill>
      <xdr:spPr>
        <a:xfrm>
          <a:off x="0" y="18402300"/>
          <a:ext cx="2527257" cy="3724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71"/>
  <sheetViews>
    <sheetView topLeftCell="A7" workbookViewId="0">
      <selection activeCell="I33" sqref="I33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25.42578125" customWidth="1"/>
    <col min="8" max="8" width="9.85546875" customWidth="1"/>
    <col min="9" max="9" width="9.5703125" bestFit="1" customWidth="1"/>
    <col min="12" max="12" width="13.7109375" customWidth="1"/>
    <col min="13" max="13" width="16.42578125" customWidth="1"/>
    <col min="14" max="14" width="17.140625" customWidth="1"/>
    <col min="15" max="15" width="16.140625" customWidth="1"/>
    <col min="16" max="16" width="17.28515625" customWidth="1"/>
  </cols>
  <sheetData>
    <row r="1" spans="1:8" x14ac:dyDescent="0.25">
      <c r="A1" s="83" t="s">
        <v>7</v>
      </c>
      <c r="B1" s="83"/>
      <c r="C1" s="83"/>
      <c r="D1" s="83"/>
      <c r="E1" s="83"/>
      <c r="F1" s="72"/>
    </row>
    <row r="2" spans="1:8" x14ac:dyDescent="0.25">
      <c r="A2" s="55" t="s">
        <v>22</v>
      </c>
      <c r="B2" s="55"/>
      <c r="C2" s="55"/>
      <c r="D2" s="55"/>
      <c r="E2" s="55"/>
      <c r="F2" s="55"/>
    </row>
    <row r="3" spans="1:8" x14ac:dyDescent="0.25">
      <c r="A3" s="55"/>
      <c r="B3" s="39" t="s">
        <v>77</v>
      </c>
      <c r="C3" s="55"/>
      <c r="D3" s="55">
        <v>149.9</v>
      </c>
      <c r="E3" s="55"/>
      <c r="F3" s="55"/>
    </row>
    <row r="4" spans="1:8" x14ac:dyDescent="0.25">
      <c r="A4" s="55"/>
      <c r="B4" s="39" t="s">
        <v>78</v>
      </c>
      <c r="C4" s="55"/>
      <c r="D4" s="55">
        <v>24</v>
      </c>
      <c r="E4" s="55"/>
      <c r="F4" s="55"/>
    </row>
    <row r="5" spans="1:8" x14ac:dyDescent="0.25">
      <c r="A5" s="9" t="s">
        <v>144</v>
      </c>
      <c r="B5" t="s">
        <v>23</v>
      </c>
      <c r="D5">
        <f>D3*D4</f>
        <v>3597.6000000000004</v>
      </c>
    </row>
    <row r="6" spans="1:8" x14ac:dyDescent="0.25">
      <c r="B6" t="s">
        <v>110</v>
      </c>
      <c r="D6">
        <f>D5*10</f>
        <v>35976</v>
      </c>
    </row>
    <row r="7" spans="1:8" ht="43.15" customHeight="1" x14ac:dyDescent="0.25">
      <c r="A7" s="55" t="s">
        <v>9</v>
      </c>
      <c r="B7" s="6">
        <v>153966</v>
      </c>
      <c r="C7" s="55"/>
      <c r="D7" s="55"/>
      <c r="E7" s="74" t="s">
        <v>104</v>
      </c>
      <c r="F7" s="74"/>
      <c r="G7" s="74"/>
      <c r="H7" s="74"/>
    </row>
    <row r="8" spans="1:8" x14ac:dyDescent="0.25">
      <c r="A8" s="55" t="s">
        <v>124</v>
      </c>
      <c r="B8" s="6">
        <f>B7*30%</f>
        <v>46189.799999999996</v>
      </c>
      <c r="C8" s="55"/>
      <c r="D8" s="55"/>
      <c r="E8" s="39" t="s">
        <v>91</v>
      </c>
      <c r="F8" s="55"/>
    </row>
    <row r="9" spans="1:8" x14ac:dyDescent="0.25">
      <c r="A9" s="55" t="s">
        <v>10</v>
      </c>
      <c r="B9" s="6">
        <f>B7-B8</f>
        <v>107776.20000000001</v>
      </c>
      <c r="C9" s="55"/>
      <c r="D9" s="55"/>
      <c r="E9" s="55"/>
      <c r="F9" s="55"/>
    </row>
    <row r="10" spans="1:8" x14ac:dyDescent="0.25">
      <c r="A10" s="55" t="s">
        <v>11</v>
      </c>
      <c r="B10" s="6">
        <v>60</v>
      </c>
      <c r="C10" s="6">
        <f>B9/B10</f>
        <v>1796.2700000000002</v>
      </c>
      <c r="D10" s="55"/>
      <c r="E10" s="39" t="s">
        <v>90</v>
      </c>
      <c r="F10" s="55"/>
    </row>
    <row r="11" spans="1:8" x14ac:dyDescent="0.25">
      <c r="A11" s="55" t="s">
        <v>13</v>
      </c>
      <c r="B11" s="14">
        <v>0.15</v>
      </c>
      <c r="C11" s="7">
        <f>B7*B11/12</f>
        <v>1924.5749999999998</v>
      </c>
      <c r="D11" s="55"/>
      <c r="E11" s="39" t="s">
        <v>105</v>
      </c>
      <c r="F11" s="55"/>
    </row>
    <row r="13" spans="1:8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8" ht="70.150000000000006" customHeight="1" x14ac:dyDescent="0.25">
      <c r="A14" s="2" t="s">
        <v>2</v>
      </c>
      <c r="B14" s="2">
        <v>7.29</v>
      </c>
      <c r="C14" s="2">
        <v>7</v>
      </c>
      <c r="D14" s="3">
        <f t="shared" ref="D14:D23" si="0">B14/C14</f>
        <v>1.0414285714285714</v>
      </c>
      <c r="E14" s="73" t="s">
        <v>84</v>
      </c>
      <c r="F14" s="41"/>
      <c r="G14" s="41"/>
      <c r="H14" s="41"/>
    </row>
    <row r="15" spans="1:8" ht="46.15" customHeight="1" x14ac:dyDescent="0.25">
      <c r="A15" s="2" t="s">
        <v>6</v>
      </c>
      <c r="B15" s="3">
        <v>500</v>
      </c>
      <c r="C15" s="2">
        <f>D5</f>
        <v>3597.6000000000004</v>
      </c>
      <c r="D15" s="3">
        <f t="shared" si="0"/>
        <v>0.13898154325105624</v>
      </c>
      <c r="E15" s="73" t="s">
        <v>96</v>
      </c>
      <c r="F15" s="61"/>
      <c r="G15" s="61"/>
      <c r="H15" s="61"/>
    </row>
    <row r="16" spans="1:8" x14ac:dyDescent="0.25">
      <c r="A16" s="2" t="s">
        <v>20</v>
      </c>
      <c r="B16" s="3"/>
      <c r="C16" s="2">
        <f>C15*12</f>
        <v>43171.200000000004</v>
      </c>
      <c r="D16" s="3">
        <f t="shared" si="0"/>
        <v>0</v>
      </c>
    </row>
    <row r="17" spans="1:16" x14ac:dyDescent="0.25">
      <c r="A17" s="2" t="s">
        <v>3</v>
      </c>
      <c r="B17" s="3">
        <v>700</v>
      </c>
      <c r="C17" s="2">
        <f>C15</f>
        <v>3597.6000000000004</v>
      </c>
      <c r="D17" s="3">
        <f t="shared" si="0"/>
        <v>0.19457416055147875</v>
      </c>
      <c r="E17" t="s">
        <v>85</v>
      </c>
    </row>
    <row r="18" spans="1:16" x14ac:dyDescent="0.25">
      <c r="A18" s="2" t="s">
        <v>28</v>
      </c>
      <c r="B18" s="3">
        <v>3511.88</v>
      </c>
      <c r="C18" s="2">
        <v>40000</v>
      </c>
      <c r="D18" s="3">
        <f t="shared" si="0"/>
        <v>8.7797E-2</v>
      </c>
      <c r="E18" t="s">
        <v>92</v>
      </c>
    </row>
    <row r="19" spans="1:16" x14ac:dyDescent="0.25">
      <c r="A19" s="2" t="s">
        <v>109</v>
      </c>
      <c r="B19" s="3">
        <v>63.4</v>
      </c>
      <c r="C19" s="2">
        <f>C20</f>
        <v>3597.6000000000004</v>
      </c>
      <c r="D19" s="3">
        <f>B19/C19</f>
        <v>1.7622859684233931E-2</v>
      </c>
      <c r="E19" t="s">
        <v>108</v>
      </c>
    </row>
    <row r="20" spans="1:16" x14ac:dyDescent="0.25">
      <c r="A20" s="2" t="s">
        <v>26</v>
      </c>
      <c r="B20" s="3">
        <v>250</v>
      </c>
      <c r="C20" s="2">
        <f>C17</f>
        <v>3597.6000000000004</v>
      </c>
      <c r="D20" s="3">
        <f t="shared" si="0"/>
        <v>6.9490771625528122E-2</v>
      </c>
      <c r="E20" t="s">
        <v>97</v>
      </c>
    </row>
    <row r="21" spans="1:16" x14ac:dyDescent="0.25">
      <c r="A21" s="2" t="s">
        <v>4</v>
      </c>
      <c r="B21" s="3">
        <f>I61</f>
        <v>9122.6464646464647</v>
      </c>
      <c r="C21" s="2">
        <f>C17</f>
        <v>3597.6000000000004</v>
      </c>
      <c r="D21" s="3">
        <f t="shared" si="0"/>
        <v>2.535758968380716</v>
      </c>
      <c r="E21" t="s">
        <v>86</v>
      </c>
    </row>
    <row r="22" spans="1:16" x14ac:dyDescent="0.25">
      <c r="A22" s="2" t="s">
        <v>12</v>
      </c>
      <c r="B22" s="3">
        <f>C10</f>
        <v>1796.2700000000002</v>
      </c>
      <c r="C22" s="2">
        <f>C21</f>
        <v>3597.6000000000004</v>
      </c>
      <c r="D22" s="3">
        <f t="shared" si="0"/>
        <v>0.49929675339114965</v>
      </c>
      <c r="E22" t="s">
        <v>89</v>
      </c>
    </row>
    <row r="23" spans="1:16" x14ac:dyDescent="0.25">
      <c r="A23" s="2" t="s">
        <v>14</v>
      </c>
      <c r="B23" s="8">
        <f>C11</f>
        <v>1924.5749999999998</v>
      </c>
      <c r="C23" s="2">
        <f>C22</f>
        <v>3597.6000000000004</v>
      </c>
      <c r="D23" s="3">
        <f t="shared" si="0"/>
        <v>0.5349608072048031</v>
      </c>
      <c r="E23" t="s">
        <v>89</v>
      </c>
    </row>
    <row r="24" spans="1:16" x14ac:dyDescent="0.25">
      <c r="A24" s="4" t="s">
        <v>24</v>
      </c>
      <c r="B24" s="4"/>
      <c r="C24" s="4" t="s">
        <v>5</v>
      </c>
      <c r="D24" s="5">
        <f>SUM(D14:D23)</f>
        <v>5.1199114355175377</v>
      </c>
    </row>
    <row r="26" spans="1:16" x14ac:dyDescent="0.25">
      <c r="A26" s="2" t="s">
        <v>17</v>
      </c>
      <c r="B26" s="2"/>
      <c r="C26" s="10">
        <v>0.1</v>
      </c>
      <c r="D26" s="8">
        <f>D24*C26</f>
        <v>0.51199114355175379</v>
      </c>
      <c r="E26" t="s">
        <v>88</v>
      </c>
      <c r="L26" s="99" t="s">
        <v>156</v>
      </c>
      <c r="M26" s="100"/>
      <c r="N26" s="100"/>
      <c r="O26" s="100"/>
      <c r="P26" s="101"/>
    </row>
    <row r="27" spans="1:16" x14ac:dyDescent="0.25">
      <c r="A27" s="2" t="s">
        <v>18</v>
      </c>
      <c r="B27" s="2"/>
      <c r="C27" s="10">
        <v>0.1</v>
      </c>
      <c r="D27" s="8">
        <f>D24*C27</f>
        <v>0.51199114355175379</v>
      </c>
      <c r="E27" t="s">
        <v>88</v>
      </c>
      <c r="L27" s="102" t="s">
        <v>157</v>
      </c>
      <c r="M27" s="102" t="s">
        <v>160</v>
      </c>
      <c r="N27" s="102" t="s">
        <v>161</v>
      </c>
      <c r="O27" s="102" t="s">
        <v>158</v>
      </c>
      <c r="P27" s="102" t="s">
        <v>159</v>
      </c>
    </row>
    <row r="28" spans="1:16" x14ac:dyDescent="0.25">
      <c r="A28" s="11" t="s">
        <v>15</v>
      </c>
      <c r="B28" s="11"/>
      <c r="C28" s="11"/>
      <c r="D28" s="12">
        <f>D27+D26+D24</f>
        <v>6.1438937226210451</v>
      </c>
      <c r="L28" s="103">
        <f>D31</f>
        <v>6.5524626551753444</v>
      </c>
      <c r="M28" s="2">
        <f>D3</f>
        <v>149.9</v>
      </c>
      <c r="N28" s="103">
        <f>L28*M28</f>
        <v>982.21415201078412</v>
      </c>
      <c r="O28" s="2">
        <v>200</v>
      </c>
      <c r="P28" s="103">
        <f>N28*O28</f>
        <v>196442.83040215683</v>
      </c>
    </row>
    <row r="29" spans="1:16" x14ac:dyDescent="0.25">
      <c r="A29" s="2" t="s">
        <v>16</v>
      </c>
      <c r="B29" s="2"/>
      <c r="C29" s="13">
        <v>6.6500000000000004E-2</v>
      </c>
      <c r="D29" s="8">
        <f>D28*C29</f>
        <v>0.40856893255429949</v>
      </c>
      <c r="E29" t="s">
        <v>87</v>
      </c>
      <c r="L29" s="47"/>
      <c r="M29" s="47"/>
      <c r="N29" s="47"/>
      <c r="O29" s="47"/>
      <c r="P29" s="47"/>
    </row>
    <row r="30" spans="1:16" x14ac:dyDescent="0.25">
      <c r="A30" s="2" t="s">
        <v>19</v>
      </c>
      <c r="B30" s="2"/>
      <c r="C30" s="10"/>
      <c r="D30" s="8"/>
      <c r="L30" s="47"/>
      <c r="M30" s="47"/>
      <c r="N30" s="47"/>
      <c r="O30" s="47"/>
      <c r="P30" s="47"/>
    </row>
    <row r="31" spans="1:16" x14ac:dyDescent="0.25">
      <c r="A31" s="11" t="s">
        <v>25</v>
      </c>
      <c r="B31" s="11"/>
      <c r="C31" s="11"/>
      <c r="D31" s="12">
        <f>D28+D29</f>
        <v>6.5524626551753444</v>
      </c>
      <c r="L31" s="47"/>
      <c r="M31" s="47"/>
      <c r="N31" s="47"/>
      <c r="O31" s="47"/>
      <c r="P31" s="47"/>
    </row>
    <row r="32" spans="1:16" x14ac:dyDescent="0.25">
      <c r="A32" s="15" t="s">
        <v>27</v>
      </c>
      <c r="B32" s="2"/>
      <c r="C32" s="2">
        <f>D5</f>
        <v>3597.6000000000004</v>
      </c>
      <c r="D32" s="8">
        <f>D31*C32</f>
        <v>23573.139648258821</v>
      </c>
      <c r="L32" s="47"/>
      <c r="M32" s="47"/>
      <c r="N32" s="47"/>
      <c r="O32" s="47"/>
      <c r="P32" s="47"/>
    </row>
    <row r="33" spans="1:16" x14ac:dyDescent="0.25">
      <c r="L33" s="47"/>
      <c r="M33" s="47"/>
      <c r="N33" s="47"/>
      <c r="O33" s="47"/>
      <c r="P33" s="47"/>
    </row>
    <row r="34" spans="1:16" ht="50.25" customHeight="1" x14ac:dyDescent="0.25">
      <c r="A34" s="82" t="s">
        <v>152</v>
      </c>
      <c r="B34" s="82"/>
      <c r="C34" s="82"/>
      <c r="D34" s="82"/>
      <c r="E34" s="82"/>
    </row>
    <row r="35" spans="1:16" x14ac:dyDescent="0.25">
      <c r="A35" s="9" t="s">
        <v>62</v>
      </c>
      <c r="C35" s="71" t="s">
        <v>154</v>
      </c>
      <c r="D35" s="16"/>
      <c r="E35" s="71" t="s">
        <v>155</v>
      </c>
    </row>
    <row r="36" spans="1:16" x14ac:dyDescent="0.25">
      <c r="A36" s="11" t="s">
        <v>79</v>
      </c>
      <c r="B36" s="2"/>
      <c r="C36" s="3">
        <v>2448.1</v>
      </c>
      <c r="D36" s="65">
        <v>220</v>
      </c>
      <c r="E36" s="2">
        <v>1789.04</v>
      </c>
    </row>
    <row r="37" spans="1:16" x14ac:dyDescent="0.25">
      <c r="A37" s="2" t="s">
        <v>80</v>
      </c>
      <c r="B37" s="2"/>
      <c r="C37" s="3">
        <f>C36/D36*200</f>
        <v>2225.5454545454545</v>
      </c>
      <c r="D37" s="65"/>
      <c r="E37" s="69">
        <f>E36/D36*200</f>
        <v>1626.3999999999999</v>
      </c>
    </row>
    <row r="38" spans="1:16" x14ac:dyDescent="0.25">
      <c r="A38" s="2" t="s">
        <v>52</v>
      </c>
      <c r="B38" s="10">
        <v>0.2</v>
      </c>
      <c r="C38" s="8">
        <f>C37*B38</f>
        <v>445.10909090909092</v>
      </c>
      <c r="D38" s="66"/>
      <c r="E38" s="69">
        <f>E37*B38</f>
        <v>325.27999999999997</v>
      </c>
    </row>
    <row r="39" spans="1:16" x14ac:dyDescent="0.25">
      <c r="A39" s="31" t="s">
        <v>60</v>
      </c>
      <c r="B39" s="10"/>
      <c r="C39" s="8"/>
      <c r="D39" s="67">
        <f>C38+C37</f>
        <v>2670.6545454545453</v>
      </c>
      <c r="E39" s="70">
        <f>SUM(E37:E38)</f>
        <v>1951.6799999999998</v>
      </c>
    </row>
    <row r="40" spans="1:16" x14ac:dyDescent="0.25">
      <c r="A40" s="2" t="s">
        <v>53</v>
      </c>
      <c r="B40" s="2">
        <v>20</v>
      </c>
      <c r="C40" s="3">
        <v>9.4</v>
      </c>
      <c r="D40" s="68">
        <f>C40*B40</f>
        <v>188</v>
      </c>
      <c r="E40" s="8">
        <f>D40</f>
        <v>188</v>
      </c>
    </row>
    <row r="41" spans="1:16" x14ac:dyDescent="0.25">
      <c r="A41" s="2" t="s">
        <v>54</v>
      </c>
      <c r="B41" s="2">
        <v>1</v>
      </c>
      <c r="C41" s="3">
        <v>740</v>
      </c>
      <c r="D41" s="68">
        <f>B41*C41</f>
        <v>740</v>
      </c>
      <c r="E41" s="8">
        <f>D41</f>
        <v>740</v>
      </c>
    </row>
    <row r="42" spans="1:16" x14ac:dyDescent="0.25">
      <c r="A42" s="2" t="s">
        <v>81</v>
      </c>
      <c r="B42" s="2"/>
      <c r="C42" s="63">
        <v>5.0700000000000002E-2</v>
      </c>
      <c r="D42" s="68">
        <f>-D41*C42</f>
        <v>-37.518000000000001</v>
      </c>
      <c r="E42" s="69">
        <f>E41*C42</f>
        <v>37.518000000000001</v>
      </c>
    </row>
    <row r="43" spans="1:16" x14ac:dyDescent="0.25">
      <c r="A43" s="2" t="s">
        <v>82</v>
      </c>
      <c r="B43" s="2"/>
      <c r="C43" s="63">
        <v>0.06</v>
      </c>
      <c r="D43" s="68">
        <f>-C37*C43</f>
        <v>-133.53272727272727</v>
      </c>
      <c r="E43" s="8">
        <f>E37*C43</f>
        <v>97.583999999999989</v>
      </c>
    </row>
    <row r="44" spans="1:16" x14ac:dyDescent="0.25">
      <c r="A44" s="11" t="s">
        <v>55</v>
      </c>
      <c r="B44" s="11"/>
      <c r="C44" s="11"/>
      <c r="D44" s="12">
        <f>SUM(D39:D43)</f>
        <v>3427.603818181818</v>
      </c>
      <c r="E44" s="12">
        <f>SUM(E39:E43)</f>
        <v>3014.7819999999997</v>
      </c>
    </row>
    <row r="45" spans="1:16" x14ac:dyDescent="0.25">
      <c r="A45" s="2" t="s">
        <v>56</v>
      </c>
      <c r="B45" s="2"/>
      <c r="C45" s="2"/>
      <c r="D45" s="8">
        <f>D44/12</f>
        <v>285.63365151515148</v>
      </c>
      <c r="E45" s="8">
        <f>E44/12</f>
        <v>251.2318333333333</v>
      </c>
    </row>
    <row r="46" spans="1:16" x14ac:dyDescent="0.25">
      <c r="A46" s="2" t="s">
        <v>57</v>
      </c>
      <c r="B46" s="2"/>
      <c r="C46" s="2"/>
      <c r="D46" s="3">
        <f>(D44/3)/12</f>
        <v>95.211217171717166</v>
      </c>
      <c r="E46" s="3">
        <f>(E44/3)/12</f>
        <v>83.743944444444438</v>
      </c>
    </row>
    <row r="47" spans="1:16" x14ac:dyDescent="0.25">
      <c r="A47" s="11" t="s">
        <v>58</v>
      </c>
      <c r="B47" s="11"/>
      <c r="C47" s="11"/>
      <c r="D47" s="30">
        <f>D46+D45+D44</f>
        <v>3808.4486868686868</v>
      </c>
      <c r="E47" s="30">
        <f>E46+E45+E44</f>
        <v>3349.7577777777774</v>
      </c>
      <c r="F47" s="9" t="s">
        <v>59</v>
      </c>
      <c r="G47" s="9"/>
      <c r="H47" s="9"/>
      <c r="I47" s="29">
        <f>D39+D45+D46+E39+E45+E46</f>
        <v>5338.1551919191916</v>
      </c>
    </row>
    <row r="49" spans="1:9" ht="30" x14ac:dyDescent="0.25">
      <c r="A49" s="17" t="s">
        <v>29</v>
      </c>
      <c r="B49" s="79" t="s">
        <v>30</v>
      </c>
      <c r="C49" s="80"/>
      <c r="D49" s="80"/>
      <c r="E49" s="80"/>
      <c r="F49" s="80"/>
      <c r="G49" s="81"/>
      <c r="H49" s="18" t="s">
        <v>31</v>
      </c>
      <c r="I49" s="18" t="s">
        <v>32</v>
      </c>
    </row>
    <row r="50" spans="1:9" x14ac:dyDescent="0.25">
      <c r="A50" s="19" t="s">
        <v>33</v>
      </c>
      <c r="B50" s="76" t="s">
        <v>34</v>
      </c>
      <c r="C50" s="77"/>
      <c r="D50" s="77"/>
      <c r="E50" s="77"/>
      <c r="F50" s="77"/>
      <c r="G50" s="78"/>
      <c r="H50" s="20">
        <v>0.2</v>
      </c>
      <c r="I50" s="21">
        <f>$I$47*H50</f>
        <v>1067.6310383838384</v>
      </c>
    </row>
    <row r="51" spans="1:9" x14ac:dyDescent="0.25">
      <c r="A51" s="19" t="s">
        <v>35</v>
      </c>
      <c r="B51" s="76" t="s">
        <v>36</v>
      </c>
      <c r="C51" s="77"/>
      <c r="D51" s="77"/>
      <c r="E51" s="77"/>
      <c r="F51" s="77"/>
      <c r="G51" s="78"/>
      <c r="H51" s="20">
        <v>1.4999999999999999E-2</v>
      </c>
      <c r="I51" s="21">
        <f t="shared" ref="I51:I57" si="1">$I$47*H51</f>
        <v>80.072327878787874</v>
      </c>
    </row>
    <row r="52" spans="1:9" x14ac:dyDescent="0.25">
      <c r="A52" s="19" t="s">
        <v>37</v>
      </c>
      <c r="B52" s="76" t="s">
        <v>38</v>
      </c>
      <c r="C52" s="77"/>
      <c r="D52" s="77"/>
      <c r="E52" s="77"/>
      <c r="F52" s="77"/>
      <c r="G52" s="78"/>
      <c r="H52" s="20">
        <v>0.01</v>
      </c>
      <c r="I52" s="21">
        <f t="shared" si="1"/>
        <v>53.381551919191914</v>
      </c>
    </row>
    <row r="53" spans="1:9" x14ac:dyDescent="0.25">
      <c r="A53" s="19" t="s">
        <v>39</v>
      </c>
      <c r="B53" s="76" t="s">
        <v>40</v>
      </c>
      <c r="C53" s="77"/>
      <c r="D53" s="77"/>
      <c r="E53" s="77"/>
      <c r="F53" s="77"/>
      <c r="G53" s="78"/>
      <c r="H53" s="20">
        <v>2E-3</v>
      </c>
      <c r="I53" s="21">
        <f t="shared" si="1"/>
        <v>10.676310383838384</v>
      </c>
    </row>
    <row r="54" spans="1:9" x14ac:dyDescent="0.25">
      <c r="A54" s="19" t="s">
        <v>41</v>
      </c>
      <c r="B54" s="87" t="s">
        <v>42</v>
      </c>
      <c r="C54" s="88"/>
      <c r="D54" s="88"/>
      <c r="E54" s="88"/>
      <c r="F54" s="88"/>
      <c r="G54" s="89"/>
      <c r="H54" s="20">
        <v>2.5000000000000001E-2</v>
      </c>
      <c r="I54" s="21">
        <f t="shared" si="1"/>
        <v>133.45387979797979</v>
      </c>
    </row>
    <row r="55" spans="1:9" x14ac:dyDescent="0.25">
      <c r="A55" s="19" t="s">
        <v>43</v>
      </c>
      <c r="B55" s="87" t="s">
        <v>44</v>
      </c>
      <c r="C55" s="88"/>
      <c r="D55" s="88"/>
      <c r="E55" s="88"/>
      <c r="F55" s="88"/>
      <c r="G55" s="89"/>
      <c r="H55" s="22">
        <v>0.08</v>
      </c>
      <c r="I55" s="21">
        <f t="shared" si="1"/>
        <v>427.05241535353531</v>
      </c>
    </row>
    <row r="56" spans="1:9" x14ac:dyDescent="0.25">
      <c r="A56" s="19" t="s">
        <v>45</v>
      </c>
      <c r="B56" s="90" t="s">
        <v>46</v>
      </c>
      <c r="C56" s="91"/>
      <c r="D56" s="23" t="s">
        <v>47</v>
      </c>
      <c r="E56" s="24">
        <v>0.03</v>
      </c>
      <c r="F56" s="23" t="s">
        <v>48</v>
      </c>
      <c r="G56" s="25">
        <v>1</v>
      </c>
      <c r="H56" s="26">
        <f>ROUND((E56*G56),6)</f>
        <v>0.03</v>
      </c>
      <c r="I56" s="21">
        <f t="shared" si="1"/>
        <v>160.14465575757575</v>
      </c>
    </row>
    <row r="57" spans="1:9" x14ac:dyDescent="0.25">
      <c r="A57" s="19" t="s">
        <v>49</v>
      </c>
      <c r="B57" s="87" t="s">
        <v>50</v>
      </c>
      <c r="C57" s="88"/>
      <c r="D57" s="88"/>
      <c r="E57" s="88"/>
      <c r="F57" s="88"/>
      <c r="G57" s="89"/>
      <c r="H57" s="20">
        <v>6.0000000000000001E-3</v>
      </c>
      <c r="I57" s="21">
        <f t="shared" si="1"/>
        <v>32.028931151515152</v>
      </c>
    </row>
    <row r="58" spans="1:9" x14ac:dyDescent="0.25">
      <c r="A58" s="92" t="s">
        <v>51</v>
      </c>
      <c r="B58" s="93"/>
      <c r="C58" s="93"/>
      <c r="D58" s="93"/>
      <c r="E58" s="93"/>
      <c r="F58" s="93"/>
      <c r="G58" s="94"/>
      <c r="H58" s="27">
        <f>SUM(H50:H57)</f>
        <v>0.3680000000000001</v>
      </c>
      <c r="I58" s="28">
        <f>TRUNC(SUM(I50:I57),2)</f>
        <v>1964.44</v>
      </c>
    </row>
    <row r="60" spans="1:9" x14ac:dyDescent="0.25">
      <c r="A60" s="32" t="s">
        <v>63</v>
      </c>
      <c r="B60" s="2"/>
      <c r="C60" s="2"/>
      <c r="D60" s="2"/>
      <c r="E60" s="2"/>
      <c r="F60" s="2"/>
      <c r="G60" s="2"/>
      <c r="H60" s="2"/>
      <c r="I60" s="12">
        <f>D47+I58+E47</f>
        <v>9122.6464646464647</v>
      </c>
    </row>
    <row r="61" spans="1:9" x14ac:dyDescent="0.25">
      <c r="A61" s="33" t="s">
        <v>61</v>
      </c>
      <c r="B61" s="2"/>
      <c r="C61" s="2"/>
      <c r="D61" s="2"/>
      <c r="E61" s="2"/>
      <c r="F61" s="2"/>
      <c r="G61" s="2"/>
      <c r="H61" s="10">
        <v>1</v>
      </c>
      <c r="I61" s="12">
        <f>I60*H61</f>
        <v>9122.6464646464647</v>
      </c>
    </row>
    <row r="65" spans="1:1" x14ac:dyDescent="0.25">
      <c r="A65" s="34" t="s">
        <v>64</v>
      </c>
    </row>
    <row r="66" spans="1:1" x14ac:dyDescent="0.25">
      <c r="A66" s="35" t="s">
        <v>65</v>
      </c>
    </row>
    <row r="67" spans="1:1" x14ac:dyDescent="0.25">
      <c r="A67" s="35" t="s">
        <v>66</v>
      </c>
    </row>
    <row r="68" spans="1:1" x14ac:dyDescent="0.25">
      <c r="A68" s="35" t="s">
        <v>67</v>
      </c>
    </row>
    <row r="69" spans="1:1" x14ac:dyDescent="0.25">
      <c r="A69" s="35" t="s">
        <v>68</v>
      </c>
    </row>
    <row r="70" spans="1:1" x14ac:dyDescent="0.25">
      <c r="A70" s="35"/>
    </row>
    <row r="71" spans="1:1" x14ac:dyDescent="0.25">
      <c r="A71" s="35"/>
    </row>
    <row r="72" spans="1:1" x14ac:dyDescent="0.25">
      <c r="A72" s="35"/>
    </row>
    <row r="73" spans="1:1" x14ac:dyDescent="0.25">
      <c r="A73" s="36" t="s">
        <v>69</v>
      </c>
    </row>
    <row r="74" spans="1:1" x14ac:dyDescent="0.25">
      <c r="A74" s="37" t="s">
        <v>70</v>
      </c>
    </row>
    <row r="75" spans="1:1" x14ac:dyDescent="0.25">
      <c r="A75" s="37" t="s">
        <v>71</v>
      </c>
    </row>
    <row r="76" spans="1:1" x14ac:dyDescent="0.25">
      <c r="A76" s="37" t="s">
        <v>72</v>
      </c>
    </row>
    <row r="77" spans="1:1" x14ac:dyDescent="0.25">
      <c r="A77" s="37" t="s">
        <v>73</v>
      </c>
    </row>
    <row r="78" spans="1:1" x14ac:dyDescent="0.25">
      <c r="A78" s="37" t="s">
        <v>74</v>
      </c>
    </row>
    <row r="79" spans="1:1" x14ac:dyDescent="0.25">
      <c r="A79" s="37" t="s">
        <v>75</v>
      </c>
    </row>
    <row r="80" spans="1:1" x14ac:dyDescent="0.25">
      <c r="A80" s="38" t="s">
        <v>76</v>
      </c>
    </row>
    <row r="83" spans="1:1" x14ac:dyDescent="0.25">
      <c r="A83" s="42" t="s">
        <v>98</v>
      </c>
    </row>
    <row r="84" spans="1:1" x14ac:dyDescent="0.25">
      <c r="A84" s="37" t="s">
        <v>99</v>
      </c>
    </row>
    <row r="85" spans="1:1" x14ac:dyDescent="0.25">
      <c r="A85" s="37" t="s">
        <v>100</v>
      </c>
    </row>
    <row r="86" spans="1:1" x14ac:dyDescent="0.25">
      <c r="A86" s="37" t="s">
        <v>101</v>
      </c>
    </row>
    <row r="87" spans="1:1" x14ac:dyDescent="0.25">
      <c r="A87" s="37" t="s">
        <v>102</v>
      </c>
    </row>
    <row r="88" spans="1:1" x14ac:dyDescent="0.25">
      <c r="A88" s="37" t="s">
        <v>103</v>
      </c>
    </row>
    <row r="89" spans="1:1" x14ac:dyDescent="0.25">
      <c r="A89" s="37"/>
    </row>
    <row r="90" spans="1:1" x14ac:dyDescent="0.25">
      <c r="A90" s="37" t="s">
        <v>153</v>
      </c>
    </row>
    <row r="113" spans="1:5" x14ac:dyDescent="0.25">
      <c r="A113" t="s">
        <v>93</v>
      </c>
      <c r="B113" t="s">
        <v>133</v>
      </c>
      <c r="E113">
        <f>877.97*4</f>
        <v>3511.88</v>
      </c>
    </row>
    <row r="129" spans="1:1" x14ac:dyDescent="0.25">
      <c r="A129" t="s">
        <v>94</v>
      </c>
    </row>
    <row r="130" spans="1:1" x14ac:dyDescent="0.25">
      <c r="A130" t="s">
        <v>95</v>
      </c>
    </row>
    <row r="148" spans="1:4" ht="78" customHeight="1" x14ac:dyDescent="0.25">
      <c r="A148" s="84" t="s">
        <v>113</v>
      </c>
      <c r="B148" s="85"/>
      <c r="C148" s="85"/>
      <c r="D148" s="86"/>
    </row>
    <row r="149" spans="1:4" x14ac:dyDescent="0.25">
      <c r="A149" s="46"/>
      <c r="B149" s="47"/>
      <c r="C149" s="47"/>
      <c r="D149" s="49"/>
    </row>
    <row r="150" spans="1:4" x14ac:dyDescent="0.25">
      <c r="A150" s="46"/>
      <c r="B150" s="47"/>
      <c r="C150" s="47"/>
      <c r="D150" s="49"/>
    </row>
    <row r="151" spans="1:4" x14ac:dyDescent="0.25">
      <c r="A151" s="46"/>
      <c r="B151" s="47"/>
      <c r="C151" s="47"/>
      <c r="D151" s="49"/>
    </row>
    <row r="152" spans="1:4" x14ac:dyDescent="0.25">
      <c r="A152" s="50" t="s">
        <v>140</v>
      </c>
      <c r="B152" s="51"/>
      <c r="C152" s="51"/>
      <c r="D152" s="52"/>
    </row>
    <row r="171" spans="1:1" x14ac:dyDescent="0.25">
      <c r="A171" t="s">
        <v>106</v>
      </c>
    </row>
  </sheetData>
  <mergeCells count="14">
    <mergeCell ref="L26:P26"/>
    <mergeCell ref="A1:E1"/>
    <mergeCell ref="A148:D148"/>
    <mergeCell ref="B53:G53"/>
    <mergeCell ref="B54:G54"/>
    <mergeCell ref="B55:G55"/>
    <mergeCell ref="B56:C56"/>
    <mergeCell ref="B57:G57"/>
    <mergeCell ref="A58:G58"/>
    <mergeCell ref="B52:G52"/>
    <mergeCell ref="B49:G49"/>
    <mergeCell ref="B50:G50"/>
    <mergeCell ref="B51:G51"/>
    <mergeCell ref="A34:E34"/>
  </mergeCells>
  <pageMargins left="0.51181102362204722" right="0.51181102362204722" top="0.78740157480314965" bottom="0.78740157480314965" header="0.31496062992125984" footer="0.31496062992125984"/>
  <pageSetup paperSize="9" scale="95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58"/>
  <sheetViews>
    <sheetView topLeftCell="A4" workbookViewId="0">
      <selection activeCell="B15" sqref="B15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25.42578125" customWidth="1"/>
    <col min="8" max="8" width="9.85546875" customWidth="1"/>
    <col min="9" max="9" width="9.5703125" bestFit="1" customWidth="1"/>
    <col min="12" max="12" width="16.28515625" customWidth="1"/>
    <col min="13" max="13" width="16" customWidth="1"/>
    <col min="14" max="14" width="16.28515625" customWidth="1"/>
    <col min="15" max="15" width="15.42578125" customWidth="1"/>
    <col min="16" max="16" width="16.42578125" customWidth="1"/>
  </cols>
  <sheetData>
    <row r="1" spans="1:8" x14ac:dyDescent="0.25">
      <c r="A1" s="83" t="s">
        <v>7</v>
      </c>
      <c r="B1" s="83"/>
      <c r="C1" s="83"/>
      <c r="D1" s="83"/>
      <c r="E1" s="83"/>
      <c r="F1" s="83"/>
    </row>
    <row r="2" spans="1:8" x14ac:dyDescent="0.25">
      <c r="A2" s="62" t="s">
        <v>146</v>
      </c>
      <c r="B2" s="62"/>
      <c r="C2" s="62"/>
      <c r="D2" s="62"/>
      <c r="E2" s="62"/>
      <c r="F2" s="62"/>
    </row>
    <row r="3" spans="1:8" x14ac:dyDescent="0.25">
      <c r="A3" s="62"/>
      <c r="B3" s="39" t="s">
        <v>77</v>
      </c>
      <c r="C3" s="62"/>
      <c r="D3" s="62">
        <v>94.6</v>
      </c>
      <c r="E3" s="62"/>
      <c r="F3" s="62"/>
    </row>
    <row r="4" spans="1:8" x14ac:dyDescent="0.25">
      <c r="A4" s="62"/>
      <c r="B4" s="39" t="s">
        <v>78</v>
      </c>
      <c r="C4" s="62"/>
      <c r="D4" s="62">
        <v>24</v>
      </c>
      <c r="E4" s="62"/>
      <c r="F4" s="62"/>
    </row>
    <row r="5" spans="1:8" x14ac:dyDescent="0.25">
      <c r="A5" s="9" t="s">
        <v>119</v>
      </c>
      <c r="B5" t="s">
        <v>23</v>
      </c>
      <c r="D5">
        <f>D3*D4</f>
        <v>2270.3999999999996</v>
      </c>
    </row>
    <row r="6" spans="1:8" x14ac:dyDescent="0.25">
      <c r="B6" t="s">
        <v>110</v>
      </c>
      <c r="D6">
        <f>D5*10</f>
        <v>22703.999999999996</v>
      </c>
    </row>
    <row r="7" spans="1:8" ht="57" customHeight="1" x14ac:dyDescent="0.25">
      <c r="A7" s="62" t="s">
        <v>9</v>
      </c>
      <c r="B7" s="6">
        <v>222663</v>
      </c>
      <c r="C7" s="62"/>
      <c r="D7" s="62"/>
      <c r="E7" s="96" t="s">
        <v>104</v>
      </c>
      <c r="F7" s="96"/>
      <c r="G7" s="96"/>
    </row>
    <row r="8" spans="1:8" x14ac:dyDescent="0.25">
      <c r="A8" s="62" t="s">
        <v>124</v>
      </c>
      <c r="B8" s="6">
        <f>B7*30%</f>
        <v>66798.899999999994</v>
      </c>
      <c r="C8" s="62"/>
      <c r="D8" s="62"/>
      <c r="E8" s="39" t="s">
        <v>91</v>
      </c>
      <c r="F8" s="62"/>
    </row>
    <row r="9" spans="1:8" x14ac:dyDescent="0.25">
      <c r="A9" s="62" t="s">
        <v>10</v>
      </c>
      <c r="B9" s="6">
        <f>B7-B8</f>
        <v>155864.1</v>
      </c>
      <c r="C9" s="62"/>
      <c r="D9" s="62"/>
      <c r="E9" s="62"/>
      <c r="F9" s="62"/>
    </row>
    <row r="10" spans="1:8" x14ac:dyDescent="0.25">
      <c r="A10" s="62" t="s">
        <v>11</v>
      </c>
      <c r="B10" s="6">
        <v>60</v>
      </c>
      <c r="C10" s="6">
        <f>B9/B10</f>
        <v>2597.7350000000001</v>
      </c>
      <c r="D10" s="62"/>
      <c r="E10" s="39" t="s">
        <v>90</v>
      </c>
      <c r="F10" s="62"/>
    </row>
    <row r="11" spans="1:8" x14ac:dyDescent="0.25">
      <c r="A11" s="62" t="s">
        <v>13</v>
      </c>
      <c r="B11" s="14">
        <v>0.15</v>
      </c>
      <c r="C11" s="7">
        <f>B7*B11/12</f>
        <v>2783.2874999999999</v>
      </c>
      <c r="D11" s="62"/>
      <c r="E11" s="39" t="s">
        <v>105</v>
      </c>
      <c r="F11" s="62"/>
    </row>
    <row r="13" spans="1:8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8" ht="63" customHeight="1" x14ac:dyDescent="0.25">
      <c r="A14" s="2" t="s">
        <v>2</v>
      </c>
      <c r="B14" s="2">
        <v>7.29</v>
      </c>
      <c r="C14" s="2">
        <v>4</v>
      </c>
      <c r="D14" s="3">
        <f t="shared" ref="D14:D23" si="0">B14/C14</f>
        <v>1.8225</v>
      </c>
      <c r="E14" s="97" t="s">
        <v>84</v>
      </c>
      <c r="F14" s="98"/>
      <c r="G14" s="98"/>
      <c r="H14" s="98"/>
    </row>
    <row r="15" spans="1:8" ht="54.6" customHeight="1" x14ac:dyDescent="0.25">
      <c r="A15" s="2" t="s">
        <v>6</v>
      </c>
      <c r="B15" s="3">
        <v>500</v>
      </c>
      <c r="C15" s="2">
        <f>D5</f>
        <v>2270.3999999999996</v>
      </c>
      <c r="D15" s="3">
        <f t="shared" si="0"/>
        <v>0.22022551092318537</v>
      </c>
      <c r="E15" s="97" t="s">
        <v>96</v>
      </c>
      <c r="F15" s="98"/>
      <c r="G15" s="98"/>
      <c r="H15" s="98"/>
    </row>
    <row r="16" spans="1:8" x14ac:dyDescent="0.25">
      <c r="A16" s="2" t="s">
        <v>20</v>
      </c>
      <c r="B16" s="3"/>
      <c r="C16" s="2">
        <f>C15*12</f>
        <v>27244.799999999996</v>
      </c>
      <c r="D16" s="3">
        <f t="shared" si="0"/>
        <v>0</v>
      </c>
    </row>
    <row r="17" spans="1:16" x14ac:dyDescent="0.25">
      <c r="A17" s="2" t="s">
        <v>3</v>
      </c>
      <c r="B17" s="3">
        <v>700</v>
      </c>
      <c r="C17" s="2">
        <f>C15</f>
        <v>2270.3999999999996</v>
      </c>
      <c r="D17" s="3">
        <f t="shared" si="0"/>
        <v>0.30831571529245955</v>
      </c>
      <c r="E17" t="s">
        <v>85</v>
      </c>
    </row>
    <row r="18" spans="1:16" x14ac:dyDescent="0.25">
      <c r="A18" s="2" t="s">
        <v>28</v>
      </c>
      <c r="B18" s="3">
        <v>2940</v>
      </c>
      <c r="C18" s="2">
        <v>40000</v>
      </c>
      <c r="D18" s="3">
        <f t="shared" si="0"/>
        <v>7.3499999999999996E-2</v>
      </c>
      <c r="E18" t="s">
        <v>92</v>
      </c>
    </row>
    <row r="19" spans="1:16" x14ac:dyDescent="0.25">
      <c r="A19" s="2" t="s">
        <v>109</v>
      </c>
      <c r="B19" s="3">
        <v>63.4</v>
      </c>
      <c r="C19" s="2">
        <f>C20</f>
        <v>2270.3999999999996</v>
      </c>
      <c r="D19" s="3">
        <f>B19/C19</f>
        <v>2.7924594785059906E-2</v>
      </c>
      <c r="E19" t="s">
        <v>108</v>
      </c>
    </row>
    <row r="20" spans="1:16" x14ac:dyDescent="0.25">
      <c r="A20" s="2" t="s">
        <v>26</v>
      </c>
      <c r="B20" s="3">
        <v>250</v>
      </c>
      <c r="C20" s="2">
        <f>C17</f>
        <v>2270.3999999999996</v>
      </c>
      <c r="D20" s="3">
        <f t="shared" si="0"/>
        <v>0.11011275546159269</v>
      </c>
      <c r="E20" t="s">
        <v>97</v>
      </c>
    </row>
    <row r="21" spans="1:16" x14ac:dyDescent="0.25">
      <c r="A21" s="2" t="s">
        <v>4</v>
      </c>
      <c r="B21" s="3">
        <f>I61</f>
        <v>9122.6464646464647</v>
      </c>
      <c r="C21" s="2">
        <f>C17</f>
        <v>2270.3999999999996</v>
      </c>
      <c r="D21" s="3">
        <f t="shared" si="0"/>
        <v>4.0180789572967166</v>
      </c>
      <c r="E21" t="s">
        <v>86</v>
      </c>
    </row>
    <row r="22" spans="1:16" x14ac:dyDescent="0.25">
      <c r="A22" s="2" t="s">
        <v>12</v>
      </c>
      <c r="B22" s="3">
        <f>C10</f>
        <v>2597.7350000000001</v>
      </c>
      <c r="C22" s="2">
        <f>C21</f>
        <v>2270.3999999999996</v>
      </c>
      <c r="D22" s="3">
        <f t="shared" si="0"/>
        <v>1.144175035236082</v>
      </c>
      <c r="E22" t="s">
        <v>89</v>
      </c>
      <c r="L22" s="99" t="s">
        <v>156</v>
      </c>
      <c r="M22" s="100"/>
      <c r="N22" s="100"/>
      <c r="O22" s="100"/>
      <c r="P22" s="101"/>
    </row>
    <row r="23" spans="1:16" x14ac:dyDescent="0.25">
      <c r="A23" s="2" t="s">
        <v>14</v>
      </c>
      <c r="B23" s="8">
        <f>C11</f>
        <v>2783.2874999999999</v>
      </c>
      <c r="C23" s="2">
        <f>C22</f>
        <v>2270.3999999999996</v>
      </c>
      <c r="D23" s="3">
        <f t="shared" si="0"/>
        <v>1.2259018234672305</v>
      </c>
      <c r="E23" t="s">
        <v>89</v>
      </c>
      <c r="L23" s="102" t="s">
        <v>157</v>
      </c>
      <c r="M23" s="102" t="s">
        <v>160</v>
      </c>
      <c r="N23" s="102" t="s">
        <v>161</v>
      </c>
      <c r="O23" s="102" t="s">
        <v>158</v>
      </c>
      <c r="P23" s="102" t="s">
        <v>159</v>
      </c>
    </row>
    <row r="24" spans="1:16" x14ac:dyDescent="0.25">
      <c r="A24" s="4" t="s">
        <v>24</v>
      </c>
      <c r="B24" s="4"/>
      <c r="C24" s="4" t="s">
        <v>5</v>
      </c>
      <c r="D24" s="5">
        <f>SUM(D14:D23)</f>
        <v>8.9507343924623264</v>
      </c>
      <c r="L24" s="103">
        <f>D31</f>
        <v>11.455149875473285</v>
      </c>
      <c r="M24" s="104">
        <f>D3</f>
        <v>94.6</v>
      </c>
      <c r="N24" s="103">
        <f>L24*M24</f>
        <v>1083.6571782197727</v>
      </c>
      <c r="O24" s="2">
        <v>200</v>
      </c>
      <c r="P24" s="103">
        <f>N24*O24</f>
        <v>216731.43564395455</v>
      </c>
    </row>
    <row r="26" spans="1:16" x14ac:dyDescent="0.25">
      <c r="A26" s="2" t="s">
        <v>17</v>
      </c>
      <c r="B26" s="2"/>
      <c r="C26" s="10">
        <v>0.1</v>
      </c>
      <c r="D26" s="8">
        <f>D24*C26</f>
        <v>0.89507343924623273</v>
      </c>
      <c r="E26" t="s">
        <v>88</v>
      </c>
    </row>
    <row r="27" spans="1:16" x14ac:dyDescent="0.25">
      <c r="A27" s="2" t="s">
        <v>18</v>
      </c>
      <c r="B27" s="2"/>
      <c r="C27" s="10">
        <v>0.1</v>
      </c>
      <c r="D27" s="8">
        <f>D24*C27</f>
        <v>0.89507343924623273</v>
      </c>
      <c r="E27" t="s">
        <v>88</v>
      </c>
    </row>
    <row r="28" spans="1:16" x14ac:dyDescent="0.25">
      <c r="A28" s="11" t="s">
        <v>15</v>
      </c>
      <c r="B28" s="11"/>
      <c r="C28" s="11"/>
      <c r="D28" s="12">
        <f>D27+D26+D24</f>
        <v>10.740881270954791</v>
      </c>
    </row>
    <row r="29" spans="1:16" x14ac:dyDescent="0.25">
      <c r="A29" s="2" t="s">
        <v>16</v>
      </c>
      <c r="B29" s="2"/>
      <c r="C29" s="13">
        <v>6.6500000000000004E-2</v>
      </c>
      <c r="D29" s="8">
        <f>D28*C29</f>
        <v>0.71426860451849361</v>
      </c>
      <c r="E29" t="s">
        <v>87</v>
      </c>
    </row>
    <row r="30" spans="1:16" x14ac:dyDescent="0.25">
      <c r="A30" s="2" t="s">
        <v>19</v>
      </c>
      <c r="B30" s="2"/>
      <c r="C30" s="10"/>
      <c r="D30" s="8"/>
    </row>
    <row r="31" spans="1:16" x14ac:dyDescent="0.25">
      <c r="A31" s="11" t="s">
        <v>25</v>
      </c>
      <c r="B31" s="11"/>
      <c r="C31" s="11"/>
      <c r="D31" s="12">
        <f>D28+D29</f>
        <v>11.455149875473285</v>
      </c>
    </row>
    <row r="32" spans="1:16" x14ac:dyDescent="0.25">
      <c r="A32" s="15" t="s">
        <v>27</v>
      </c>
      <c r="B32" s="2"/>
      <c r="C32" s="2">
        <f>D5</f>
        <v>2270.3999999999996</v>
      </c>
      <c r="D32" s="8">
        <f>D31*C32</f>
        <v>26007.772277274544</v>
      </c>
    </row>
    <row r="34" spans="1:9" ht="50.25" customHeight="1" x14ac:dyDescent="0.25">
      <c r="A34" s="82" t="s">
        <v>152</v>
      </c>
      <c r="B34" s="82"/>
      <c r="C34" s="82"/>
      <c r="D34" s="82"/>
      <c r="E34" s="82"/>
    </row>
    <row r="35" spans="1:9" x14ac:dyDescent="0.25">
      <c r="A35" s="9" t="s">
        <v>62</v>
      </c>
      <c r="C35" s="71" t="s">
        <v>154</v>
      </c>
      <c r="D35" s="16"/>
      <c r="E35" s="71" t="s">
        <v>155</v>
      </c>
    </row>
    <row r="36" spans="1:9" x14ac:dyDescent="0.25">
      <c r="A36" s="11" t="s">
        <v>79</v>
      </c>
      <c r="B36" s="2"/>
      <c r="C36" s="3">
        <v>2448.1</v>
      </c>
      <c r="D36" s="8">
        <v>220</v>
      </c>
      <c r="E36" s="2">
        <v>1789.04</v>
      </c>
    </row>
    <row r="37" spans="1:9" x14ac:dyDescent="0.25">
      <c r="A37" s="2" t="s">
        <v>80</v>
      </c>
      <c r="B37" s="2"/>
      <c r="C37" s="3">
        <f>C36/D36*200</f>
        <v>2225.5454545454545</v>
      </c>
      <c r="D37" s="8"/>
      <c r="E37" s="69">
        <f>E36/D36*200</f>
        <v>1626.3999999999999</v>
      </c>
    </row>
    <row r="38" spans="1:9" x14ac:dyDescent="0.25">
      <c r="A38" s="2" t="s">
        <v>52</v>
      </c>
      <c r="B38" s="10">
        <v>0.2</v>
      </c>
      <c r="C38" s="8">
        <f>C37*B38</f>
        <v>445.10909090909092</v>
      </c>
      <c r="D38" s="2"/>
      <c r="E38" s="69">
        <f>E37*B38</f>
        <v>325.27999999999997</v>
      </c>
    </row>
    <row r="39" spans="1:9" x14ac:dyDescent="0.25">
      <c r="A39" s="31" t="s">
        <v>60</v>
      </c>
      <c r="B39" s="10"/>
      <c r="C39" s="8"/>
      <c r="D39" s="12">
        <f>C38+C37</f>
        <v>2670.6545454545453</v>
      </c>
      <c r="E39" s="70">
        <f>SUM(E37:E38)</f>
        <v>1951.6799999999998</v>
      </c>
    </row>
    <row r="40" spans="1:9" x14ac:dyDescent="0.25">
      <c r="A40" s="2" t="s">
        <v>53</v>
      </c>
      <c r="B40" s="2">
        <v>20</v>
      </c>
      <c r="C40" s="3">
        <v>9.4</v>
      </c>
      <c r="D40" s="3">
        <f>C40*B40</f>
        <v>188</v>
      </c>
      <c r="E40" s="8">
        <f>D40</f>
        <v>188</v>
      </c>
    </row>
    <row r="41" spans="1:9" x14ac:dyDescent="0.25">
      <c r="A41" s="2" t="s">
        <v>54</v>
      </c>
      <c r="B41" s="2">
        <v>1</v>
      </c>
      <c r="C41" s="3">
        <v>740</v>
      </c>
      <c r="D41" s="3">
        <f>B41*C41</f>
        <v>740</v>
      </c>
      <c r="E41" s="8">
        <f>D41</f>
        <v>740</v>
      </c>
    </row>
    <row r="42" spans="1:9" x14ac:dyDescent="0.25">
      <c r="A42" s="2" t="s">
        <v>81</v>
      </c>
      <c r="B42" s="2"/>
      <c r="C42" s="63">
        <v>5.0700000000000002E-2</v>
      </c>
      <c r="D42" s="3">
        <f>-D41*C42</f>
        <v>-37.518000000000001</v>
      </c>
      <c r="E42" s="69">
        <f>E41*C42</f>
        <v>37.518000000000001</v>
      </c>
    </row>
    <row r="43" spans="1:9" x14ac:dyDescent="0.25">
      <c r="A43" s="2" t="s">
        <v>82</v>
      </c>
      <c r="B43" s="2"/>
      <c r="C43" s="63">
        <v>0.06</v>
      </c>
      <c r="D43" s="3">
        <f>-C37*C43</f>
        <v>-133.53272727272727</v>
      </c>
      <c r="E43" s="8">
        <f>E37*C43</f>
        <v>97.583999999999989</v>
      </c>
    </row>
    <row r="44" spans="1:9" x14ac:dyDescent="0.25">
      <c r="A44" s="11" t="s">
        <v>55</v>
      </c>
      <c r="B44" s="11"/>
      <c r="C44" s="11"/>
      <c r="D44" s="12">
        <f>SUM(D39:D43)</f>
        <v>3427.603818181818</v>
      </c>
      <c r="E44" s="12">
        <f>SUM(E39:E43)</f>
        <v>3014.7819999999997</v>
      </c>
    </row>
    <row r="45" spans="1:9" x14ac:dyDescent="0.25">
      <c r="A45" s="2" t="s">
        <v>56</v>
      </c>
      <c r="B45" s="2"/>
      <c r="C45" s="2"/>
      <c r="D45" s="8">
        <f>D44/12</f>
        <v>285.63365151515148</v>
      </c>
      <c r="E45" s="8">
        <f>E44/12</f>
        <v>251.2318333333333</v>
      </c>
    </row>
    <row r="46" spans="1:9" x14ac:dyDescent="0.25">
      <c r="A46" s="2" t="s">
        <v>57</v>
      </c>
      <c r="B46" s="2"/>
      <c r="C46" s="2"/>
      <c r="D46" s="3">
        <f>(D44/3)/12</f>
        <v>95.211217171717166</v>
      </c>
      <c r="E46" s="3">
        <f>(E44/3)/12</f>
        <v>83.743944444444438</v>
      </c>
    </row>
    <row r="47" spans="1:9" x14ac:dyDescent="0.25">
      <c r="A47" s="11" t="s">
        <v>58</v>
      </c>
      <c r="B47" s="11"/>
      <c r="C47" s="11"/>
      <c r="D47" s="30">
        <f>D46+D45+D44</f>
        <v>3808.4486868686868</v>
      </c>
      <c r="E47" s="30">
        <f>E46+E45+E44</f>
        <v>3349.7577777777774</v>
      </c>
      <c r="F47" s="9" t="s">
        <v>59</v>
      </c>
      <c r="G47" s="9"/>
      <c r="H47" s="9"/>
      <c r="I47" s="29">
        <f>D39+D45+D46+E39+E45+E46</f>
        <v>5338.1551919191916</v>
      </c>
    </row>
    <row r="49" spans="1:9" ht="30" x14ac:dyDescent="0.25">
      <c r="A49" s="17" t="s">
        <v>29</v>
      </c>
      <c r="B49" s="79" t="s">
        <v>30</v>
      </c>
      <c r="C49" s="80"/>
      <c r="D49" s="80"/>
      <c r="E49" s="80"/>
      <c r="F49" s="80"/>
      <c r="G49" s="81"/>
      <c r="H49" s="18" t="s">
        <v>31</v>
      </c>
      <c r="I49" s="18" t="s">
        <v>32</v>
      </c>
    </row>
    <row r="50" spans="1:9" x14ac:dyDescent="0.25">
      <c r="A50" s="19" t="s">
        <v>33</v>
      </c>
      <c r="B50" s="76" t="s">
        <v>34</v>
      </c>
      <c r="C50" s="77"/>
      <c r="D50" s="77"/>
      <c r="E50" s="77"/>
      <c r="F50" s="77"/>
      <c r="G50" s="78"/>
      <c r="H50" s="20">
        <v>0.2</v>
      </c>
      <c r="I50" s="21">
        <f>$I$47*H50</f>
        <v>1067.6310383838384</v>
      </c>
    </row>
    <row r="51" spans="1:9" x14ac:dyDescent="0.25">
      <c r="A51" s="19" t="s">
        <v>35</v>
      </c>
      <c r="B51" s="76" t="s">
        <v>36</v>
      </c>
      <c r="C51" s="77"/>
      <c r="D51" s="77"/>
      <c r="E51" s="77"/>
      <c r="F51" s="77"/>
      <c r="G51" s="78"/>
      <c r="H51" s="20">
        <v>1.4999999999999999E-2</v>
      </c>
      <c r="I51" s="21">
        <f t="shared" ref="I51:I57" si="1">$I$47*H51</f>
        <v>80.072327878787874</v>
      </c>
    </row>
    <row r="52" spans="1:9" x14ac:dyDescent="0.25">
      <c r="A52" s="19" t="s">
        <v>37</v>
      </c>
      <c r="B52" s="76" t="s">
        <v>38</v>
      </c>
      <c r="C52" s="77"/>
      <c r="D52" s="77"/>
      <c r="E52" s="77"/>
      <c r="F52" s="77"/>
      <c r="G52" s="78"/>
      <c r="H52" s="20">
        <v>0.01</v>
      </c>
      <c r="I52" s="21">
        <f t="shared" si="1"/>
        <v>53.381551919191914</v>
      </c>
    </row>
    <row r="53" spans="1:9" x14ac:dyDescent="0.25">
      <c r="A53" s="19" t="s">
        <v>39</v>
      </c>
      <c r="B53" s="76" t="s">
        <v>40</v>
      </c>
      <c r="C53" s="77"/>
      <c r="D53" s="77"/>
      <c r="E53" s="77"/>
      <c r="F53" s="77"/>
      <c r="G53" s="78"/>
      <c r="H53" s="20">
        <v>2E-3</v>
      </c>
      <c r="I53" s="21">
        <f t="shared" si="1"/>
        <v>10.676310383838384</v>
      </c>
    </row>
    <row r="54" spans="1:9" x14ac:dyDescent="0.25">
      <c r="A54" s="19" t="s">
        <v>41</v>
      </c>
      <c r="B54" s="87" t="s">
        <v>42</v>
      </c>
      <c r="C54" s="88"/>
      <c r="D54" s="88"/>
      <c r="E54" s="88"/>
      <c r="F54" s="88"/>
      <c r="G54" s="89"/>
      <c r="H54" s="20">
        <v>2.5000000000000001E-2</v>
      </c>
      <c r="I54" s="21">
        <f t="shared" si="1"/>
        <v>133.45387979797979</v>
      </c>
    </row>
    <row r="55" spans="1:9" x14ac:dyDescent="0.25">
      <c r="A55" s="19" t="s">
        <v>43</v>
      </c>
      <c r="B55" s="87" t="s">
        <v>44</v>
      </c>
      <c r="C55" s="88"/>
      <c r="D55" s="88"/>
      <c r="E55" s="88"/>
      <c r="F55" s="88"/>
      <c r="G55" s="89"/>
      <c r="H55" s="22">
        <v>0.08</v>
      </c>
      <c r="I55" s="21">
        <f t="shared" si="1"/>
        <v>427.05241535353531</v>
      </c>
    </row>
    <row r="56" spans="1:9" x14ac:dyDescent="0.25">
      <c r="A56" s="19" t="s">
        <v>45</v>
      </c>
      <c r="B56" s="90" t="s">
        <v>46</v>
      </c>
      <c r="C56" s="91"/>
      <c r="D56" s="23" t="s">
        <v>47</v>
      </c>
      <c r="E56" s="24">
        <v>0.03</v>
      </c>
      <c r="F56" s="23" t="s">
        <v>48</v>
      </c>
      <c r="G56" s="25">
        <v>1</v>
      </c>
      <c r="H56" s="26">
        <f>ROUND((E56*G56),6)</f>
        <v>0.03</v>
      </c>
      <c r="I56" s="21">
        <f t="shared" si="1"/>
        <v>160.14465575757575</v>
      </c>
    </row>
    <row r="57" spans="1:9" x14ac:dyDescent="0.25">
      <c r="A57" s="19" t="s">
        <v>49</v>
      </c>
      <c r="B57" s="87" t="s">
        <v>50</v>
      </c>
      <c r="C57" s="88"/>
      <c r="D57" s="88"/>
      <c r="E57" s="88"/>
      <c r="F57" s="88"/>
      <c r="G57" s="89"/>
      <c r="H57" s="20">
        <v>6.0000000000000001E-3</v>
      </c>
      <c r="I57" s="21">
        <f t="shared" si="1"/>
        <v>32.028931151515152</v>
      </c>
    </row>
    <row r="58" spans="1:9" x14ac:dyDescent="0.25">
      <c r="A58" s="92" t="s">
        <v>51</v>
      </c>
      <c r="B58" s="93"/>
      <c r="C58" s="93"/>
      <c r="D58" s="93"/>
      <c r="E58" s="93"/>
      <c r="F58" s="93"/>
      <c r="G58" s="94"/>
      <c r="H58" s="27">
        <f>SUM(H50:H57)</f>
        <v>0.3680000000000001</v>
      </c>
      <c r="I58" s="28">
        <f>TRUNC(SUM(I50:I57),2)</f>
        <v>1964.44</v>
      </c>
    </row>
    <row r="60" spans="1:9" x14ac:dyDescent="0.25">
      <c r="A60" s="32" t="s">
        <v>63</v>
      </c>
      <c r="B60" s="2"/>
      <c r="C60" s="2"/>
      <c r="D60" s="2"/>
      <c r="E60" s="2"/>
      <c r="F60" s="2"/>
      <c r="G60" s="2"/>
      <c r="H60" s="2"/>
      <c r="I60" s="12">
        <f>D47+I58+E47</f>
        <v>9122.6464646464647</v>
      </c>
    </row>
    <row r="61" spans="1:9" x14ac:dyDescent="0.25">
      <c r="A61" s="33" t="s">
        <v>61</v>
      </c>
      <c r="B61" s="2"/>
      <c r="C61" s="2"/>
      <c r="D61" s="2"/>
      <c r="E61" s="2"/>
      <c r="F61" s="2"/>
      <c r="G61" s="2"/>
      <c r="H61" s="10">
        <v>1</v>
      </c>
      <c r="I61" s="12">
        <f>I60*H61</f>
        <v>9122.6464646464647</v>
      </c>
    </row>
    <row r="65" spans="1:1" x14ac:dyDescent="0.25">
      <c r="A65" s="34" t="s">
        <v>64</v>
      </c>
    </row>
    <row r="66" spans="1:1" x14ac:dyDescent="0.25">
      <c r="A66" s="35" t="s">
        <v>65</v>
      </c>
    </row>
    <row r="67" spans="1:1" x14ac:dyDescent="0.25">
      <c r="A67" s="35" t="s">
        <v>66</v>
      </c>
    </row>
    <row r="68" spans="1:1" x14ac:dyDescent="0.25">
      <c r="A68" s="35" t="s">
        <v>67</v>
      </c>
    </row>
    <row r="69" spans="1:1" x14ac:dyDescent="0.25">
      <c r="A69" s="35" t="s">
        <v>68</v>
      </c>
    </row>
    <row r="70" spans="1:1" x14ac:dyDescent="0.25">
      <c r="A70" s="35"/>
    </row>
    <row r="71" spans="1:1" x14ac:dyDescent="0.25">
      <c r="A71" s="35"/>
    </row>
    <row r="72" spans="1:1" x14ac:dyDescent="0.25">
      <c r="A72" s="35"/>
    </row>
    <row r="73" spans="1:1" x14ac:dyDescent="0.25">
      <c r="A73" s="36" t="s">
        <v>69</v>
      </c>
    </row>
    <row r="74" spans="1:1" x14ac:dyDescent="0.25">
      <c r="A74" s="37" t="s">
        <v>70</v>
      </c>
    </row>
    <row r="75" spans="1:1" x14ac:dyDescent="0.25">
      <c r="A75" s="37" t="s">
        <v>71</v>
      </c>
    </row>
    <row r="76" spans="1:1" x14ac:dyDescent="0.25">
      <c r="A76" s="37" t="s">
        <v>72</v>
      </c>
    </row>
    <row r="77" spans="1:1" x14ac:dyDescent="0.25">
      <c r="A77" s="37" t="s">
        <v>73</v>
      </c>
    </row>
    <row r="78" spans="1:1" x14ac:dyDescent="0.25">
      <c r="A78" s="37" t="s">
        <v>74</v>
      </c>
    </row>
    <row r="79" spans="1:1" x14ac:dyDescent="0.25">
      <c r="A79" s="37" t="s">
        <v>75</v>
      </c>
    </row>
    <row r="80" spans="1:1" x14ac:dyDescent="0.25">
      <c r="A80" s="38" t="s">
        <v>76</v>
      </c>
    </row>
    <row r="83" spans="1:1" x14ac:dyDescent="0.25">
      <c r="A83" s="42" t="s">
        <v>98</v>
      </c>
    </row>
    <row r="84" spans="1:1" x14ac:dyDescent="0.25">
      <c r="A84" s="37" t="s">
        <v>99</v>
      </c>
    </row>
    <row r="85" spans="1:1" x14ac:dyDescent="0.25">
      <c r="A85" s="37" t="s">
        <v>100</v>
      </c>
    </row>
    <row r="86" spans="1:1" x14ac:dyDescent="0.25">
      <c r="A86" s="37" t="s">
        <v>101</v>
      </c>
    </row>
    <row r="87" spans="1:1" x14ac:dyDescent="0.25">
      <c r="A87" s="37" t="s">
        <v>102</v>
      </c>
    </row>
    <row r="88" spans="1:1" x14ac:dyDescent="0.25">
      <c r="A88" s="37" t="s">
        <v>103</v>
      </c>
    </row>
    <row r="89" spans="1:1" x14ac:dyDescent="0.25">
      <c r="A89" s="37"/>
    </row>
    <row r="90" spans="1:1" x14ac:dyDescent="0.25">
      <c r="A90" s="37" t="s">
        <v>153</v>
      </c>
    </row>
    <row r="113" spans="1:2" x14ac:dyDescent="0.25">
      <c r="A113" t="s">
        <v>93</v>
      </c>
      <c r="B113" t="s">
        <v>125</v>
      </c>
    </row>
    <row r="129" spans="1:1" x14ac:dyDescent="0.25">
      <c r="A129" t="s">
        <v>94</v>
      </c>
    </row>
    <row r="130" spans="1:1" x14ac:dyDescent="0.25">
      <c r="A130" t="s">
        <v>95</v>
      </c>
    </row>
    <row r="148" spans="1:4" ht="78" customHeight="1" x14ac:dyDescent="0.25">
      <c r="A148" s="84" t="s">
        <v>113</v>
      </c>
      <c r="B148" s="85"/>
      <c r="C148" s="85"/>
      <c r="D148" s="86"/>
    </row>
    <row r="149" spans="1:4" x14ac:dyDescent="0.25">
      <c r="A149" s="46" t="s">
        <v>120</v>
      </c>
      <c r="B149" s="47"/>
      <c r="C149" s="47"/>
      <c r="D149" s="49"/>
    </row>
    <row r="150" spans="1:4" x14ac:dyDescent="0.25">
      <c r="A150" s="46" t="s">
        <v>121</v>
      </c>
      <c r="B150" s="47"/>
      <c r="C150" s="47"/>
      <c r="D150" s="49"/>
    </row>
    <row r="151" spans="1:4" x14ac:dyDescent="0.25">
      <c r="A151" s="46" t="s">
        <v>122</v>
      </c>
      <c r="B151" s="47"/>
      <c r="C151" s="47"/>
      <c r="D151" s="49"/>
    </row>
    <row r="152" spans="1:4" x14ac:dyDescent="0.25">
      <c r="A152" s="50" t="s">
        <v>123</v>
      </c>
      <c r="B152" s="51"/>
      <c r="C152" s="51"/>
      <c r="D152" s="52"/>
    </row>
    <row r="154" spans="1:4" x14ac:dyDescent="0.25">
      <c r="C154" s="56"/>
    </row>
    <row r="158" spans="1:4" x14ac:dyDescent="0.25">
      <c r="A158" t="s">
        <v>106</v>
      </c>
    </row>
  </sheetData>
  <mergeCells count="17">
    <mergeCell ref="L22:P22"/>
    <mergeCell ref="B49:G49"/>
    <mergeCell ref="A34:E34"/>
    <mergeCell ref="A1:F1"/>
    <mergeCell ref="E7:G7"/>
    <mergeCell ref="E14:H14"/>
    <mergeCell ref="E15:H15"/>
    <mergeCell ref="B56:C56"/>
    <mergeCell ref="B57:G57"/>
    <mergeCell ref="A58:G58"/>
    <mergeCell ref="A148:D148"/>
    <mergeCell ref="B50:G50"/>
    <mergeCell ref="B51:G51"/>
    <mergeCell ref="B52:G52"/>
    <mergeCell ref="B53:G53"/>
    <mergeCell ref="B54:G54"/>
    <mergeCell ref="B55:G55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93"/>
  <sheetViews>
    <sheetView tabSelected="1" zoomScale="80" zoomScaleNormal="80" workbookViewId="0">
      <selection activeCell="B15" sqref="B15"/>
    </sheetView>
  </sheetViews>
  <sheetFormatPr defaultRowHeight="15" x14ac:dyDescent="0.25"/>
  <cols>
    <col min="1" max="1" width="32.28515625" bestFit="1" customWidth="1"/>
    <col min="2" max="2" width="14.7109375" customWidth="1"/>
    <col min="3" max="3" width="17" bestFit="1" customWidth="1"/>
    <col min="4" max="4" width="12.7109375" customWidth="1"/>
    <col min="5" max="5" width="25.42578125" customWidth="1"/>
    <col min="8" max="8" width="9.85546875" customWidth="1"/>
    <col min="9" max="9" width="13.85546875" customWidth="1"/>
    <col min="12" max="12" width="15.42578125" customWidth="1"/>
    <col min="13" max="14" width="16.42578125" customWidth="1"/>
    <col min="15" max="15" width="16" customWidth="1"/>
    <col min="16" max="16" width="16.28515625" customWidth="1"/>
  </cols>
  <sheetData>
    <row r="1" spans="1:8" x14ac:dyDescent="0.25">
      <c r="A1" s="83" t="s">
        <v>7</v>
      </c>
      <c r="B1" s="83"/>
      <c r="C1" s="83"/>
      <c r="D1" s="83"/>
      <c r="E1" s="83"/>
      <c r="F1" s="83"/>
    </row>
    <row r="2" spans="1:8" x14ac:dyDescent="0.25">
      <c r="A2" s="64" t="s">
        <v>150</v>
      </c>
      <c r="B2" s="64"/>
      <c r="C2" s="64"/>
      <c r="D2" s="64"/>
      <c r="E2" s="64"/>
      <c r="F2" s="64"/>
    </row>
    <row r="3" spans="1:8" x14ac:dyDescent="0.25">
      <c r="A3" s="64"/>
      <c r="B3" s="39" t="s">
        <v>77</v>
      </c>
      <c r="C3" s="64"/>
      <c r="D3" s="64">
        <v>108</v>
      </c>
      <c r="E3" s="64"/>
      <c r="F3" s="64"/>
    </row>
    <row r="4" spans="1:8" x14ac:dyDescent="0.25">
      <c r="A4" s="64"/>
      <c r="B4" s="39" t="s">
        <v>78</v>
      </c>
      <c r="C4" s="64"/>
      <c r="D4" s="64">
        <v>24</v>
      </c>
      <c r="E4" s="64"/>
      <c r="F4" s="64"/>
    </row>
    <row r="5" spans="1:8" x14ac:dyDescent="0.25">
      <c r="A5" s="9" t="s">
        <v>151</v>
      </c>
      <c r="B5" t="s">
        <v>23</v>
      </c>
      <c r="D5">
        <f>D3*D4</f>
        <v>2592</v>
      </c>
    </row>
    <row r="6" spans="1:8" x14ac:dyDescent="0.25">
      <c r="B6" t="s">
        <v>110</v>
      </c>
      <c r="D6">
        <f>D5*10</f>
        <v>25920</v>
      </c>
    </row>
    <row r="7" spans="1:8" ht="57" customHeight="1" x14ac:dyDescent="0.25">
      <c r="A7" s="64" t="s">
        <v>9</v>
      </c>
      <c r="B7" s="6">
        <v>153966</v>
      </c>
      <c r="C7" s="64"/>
      <c r="D7" s="64"/>
      <c r="E7" s="96" t="s">
        <v>104</v>
      </c>
      <c r="F7" s="96"/>
      <c r="G7" s="96"/>
    </row>
    <row r="8" spans="1:8" x14ac:dyDescent="0.25">
      <c r="A8" s="64" t="s">
        <v>124</v>
      </c>
      <c r="B8" s="6">
        <v>46189.8</v>
      </c>
      <c r="C8" s="64"/>
      <c r="D8" s="64"/>
      <c r="E8" s="39" t="s">
        <v>91</v>
      </c>
      <c r="F8" s="64"/>
    </row>
    <row r="9" spans="1:8" x14ac:dyDescent="0.25">
      <c r="A9" s="64" t="s">
        <v>10</v>
      </c>
      <c r="B9" s="6">
        <v>107776.2</v>
      </c>
      <c r="C9" s="64"/>
      <c r="D9" s="64"/>
      <c r="E9" s="64"/>
      <c r="F9" s="64"/>
    </row>
    <row r="10" spans="1:8" x14ac:dyDescent="0.25">
      <c r="A10" s="64" t="s">
        <v>11</v>
      </c>
      <c r="B10" s="6">
        <v>60</v>
      </c>
      <c r="C10" s="6">
        <f>B9/B10</f>
        <v>1796.27</v>
      </c>
      <c r="D10" s="64"/>
      <c r="E10" s="39" t="s">
        <v>90</v>
      </c>
      <c r="F10" s="64"/>
    </row>
    <row r="11" spans="1:8" x14ac:dyDescent="0.25">
      <c r="A11" s="64" t="s">
        <v>13</v>
      </c>
      <c r="B11" s="14">
        <v>0.15</v>
      </c>
      <c r="C11" s="7">
        <f>B7*B11/12</f>
        <v>1924.5749999999998</v>
      </c>
      <c r="D11" s="64"/>
      <c r="E11" s="39" t="s">
        <v>105</v>
      </c>
      <c r="F11" s="64"/>
    </row>
    <row r="13" spans="1:8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8" ht="63" customHeight="1" x14ac:dyDescent="0.25">
      <c r="A14" s="2" t="s">
        <v>2</v>
      </c>
      <c r="B14" s="2">
        <v>7.29</v>
      </c>
      <c r="C14" s="2">
        <v>4</v>
      </c>
      <c r="D14" s="3">
        <f t="shared" ref="D14:D23" si="0">B14/C14</f>
        <v>1.8225</v>
      </c>
      <c r="E14" s="97" t="s">
        <v>84</v>
      </c>
      <c r="F14" s="98"/>
      <c r="G14" s="98"/>
      <c r="H14" s="98"/>
    </row>
    <row r="15" spans="1:8" ht="54.6" customHeight="1" x14ac:dyDescent="0.25">
      <c r="A15" s="2" t="s">
        <v>6</v>
      </c>
      <c r="B15" s="3">
        <v>200</v>
      </c>
      <c r="C15" s="2">
        <f>D5</f>
        <v>2592</v>
      </c>
      <c r="D15" s="3">
        <f t="shared" si="0"/>
        <v>7.716049382716049E-2</v>
      </c>
      <c r="E15" s="97" t="s">
        <v>96</v>
      </c>
      <c r="F15" s="98"/>
      <c r="G15" s="98"/>
      <c r="H15" s="98"/>
    </row>
    <row r="16" spans="1:8" x14ac:dyDescent="0.25">
      <c r="A16" s="2" t="s">
        <v>20</v>
      </c>
      <c r="B16" s="3"/>
      <c r="C16" s="2">
        <f>C15*12</f>
        <v>31104</v>
      </c>
      <c r="D16" s="3">
        <f t="shared" si="0"/>
        <v>0</v>
      </c>
    </row>
    <row r="17" spans="1:16" x14ac:dyDescent="0.25">
      <c r="A17" s="2" t="s">
        <v>3</v>
      </c>
      <c r="B17" s="3">
        <v>700</v>
      </c>
      <c r="C17" s="2">
        <f>C15</f>
        <v>2592</v>
      </c>
      <c r="D17" s="3">
        <f t="shared" si="0"/>
        <v>0.27006172839506171</v>
      </c>
      <c r="E17" t="s">
        <v>85</v>
      </c>
    </row>
    <row r="18" spans="1:16" x14ac:dyDescent="0.25">
      <c r="A18" s="2" t="s">
        <v>28</v>
      </c>
      <c r="B18" s="3">
        <v>2940</v>
      </c>
      <c r="C18" s="2">
        <v>40000</v>
      </c>
      <c r="D18" s="3">
        <f t="shared" si="0"/>
        <v>7.3499999999999996E-2</v>
      </c>
      <c r="E18" t="s">
        <v>92</v>
      </c>
    </row>
    <row r="19" spans="1:16" x14ac:dyDescent="0.25">
      <c r="A19" s="2" t="s">
        <v>109</v>
      </c>
      <c r="B19" s="3">
        <v>63.4</v>
      </c>
      <c r="C19" s="2">
        <f>C20</f>
        <v>2592</v>
      </c>
      <c r="D19" s="3">
        <f>B19/C19</f>
        <v>2.4459876543209875E-2</v>
      </c>
      <c r="E19" t="s">
        <v>108</v>
      </c>
    </row>
    <row r="20" spans="1:16" x14ac:dyDescent="0.25">
      <c r="A20" s="2" t="s">
        <v>26</v>
      </c>
      <c r="B20" s="3">
        <v>250</v>
      </c>
      <c r="C20" s="2">
        <f>C17</f>
        <v>2592</v>
      </c>
      <c r="D20" s="3">
        <f t="shared" si="0"/>
        <v>9.6450617283950615E-2</v>
      </c>
      <c r="E20" t="s">
        <v>97</v>
      </c>
    </row>
    <row r="21" spans="1:16" x14ac:dyDescent="0.25">
      <c r="A21" s="2" t="s">
        <v>4</v>
      </c>
      <c r="B21" s="3">
        <f>I61</f>
        <v>9122.6464646464647</v>
      </c>
      <c r="C21" s="2">
        <f>C17</f>
        <v>2592</v>
      </c>
      <c r="D21" s="3">
        <f t="shared" si="0"/>
        <v>3.5195395311136051</v>
      </c>
      <c r="E21" t="s">
        <v>86</v>
      </c>
    </row>
    <row r="22" spans="1:16" x14ac:dyDescent="0.25">
      <c r="A22" s="2" t="s">
        <v>12</v>
      </c>
      <c r="B22" s="3">
        <f>C10</f>
        <v>1796.27</v>
      </c>
      <c r="C22" s="2">
        <f>C21</f>
        <v>2592</v>
      </c>
      <c r="D22" s="3">
        <f t="shared" si="0"/>
        <v>0.69300540123456789</v>
      </c>
      <c r="E22" t="s">
        <v>89</v>
      </c>
    </row>
    <row r="23" spans="1:16" x14ac:dyDescent="0.25">
      <c r="A23" s="2" t="s">
        <v>14</v>
      </c>
      <c r="B23" s="8">
        <f>C11</f>
        <v>1924.5749999999998</v>
      </c>
      <c r="C23" s="2">
        <f>C22</f>
        <v>2592</v>
      </c>
      <c r="D23" s="3">
        <f t="shared" si="0"/>
        <v>0.74250578703703696</v>
      </c>
      <c r="E23" t="s">
        <v>89</v>
      </c>
    </row>
    <row r="24" spans="1:16" x14ac:dyDescent="0.25">
      <c r="A24" s="4" t="s">
        <v>24</v>
      </c>
      <c r="B24" s="4"/>
      <c r="C24" s="4" t="s">
        <v>5</v>
      </c>
      <c r="D24" s="5">
        <f>SUM(D14:D23)</f>
        <v>7.3191834354345922</v>
      </c>
    </row>
    <row r="25" spans="1:16" x14ac:dyDescent="0.25">
      <c r="L25" s="99" t="s">
        <v>156</v>
      </c>
      <c r="M25" s="100"/>
      <c r="N25" s="100"/>
      <c r="O25" s="100"/>
      <c r="P25" s="101"/>
    </row>
    <row r="26" spans="1:16" x14ac:dyDescent="0.25">
      <c r="A26" s="2" t="s">
        <v>17</v>
      </c>
      <c r="B26" s="2"/>
      <c r="C26" s="10">
        <v>0.1</v>
      </c>
      <c r="D26" s="8">
        <f>D24*C26</f>
        <v>0.7319183435434593</v>
      </c>
      <c r="E26" t="s">
        <v>88</v>
      </c>
      <c r="L26" s="102" t="s">
        <v>157</v>
      </c>
      <c r="M26" s="102" t="s">
        <v>160</v>
      </c>
      <c r="N26" s="102" t="s">
        <v>161</v>
      </c>
      <c r="O26" s="102" t="s">
        <v>158</v>
      </c>
      <c r="P26" s="102" t="s">
        <v>159</v>
      </c>
    </row>
    <row r="27" spans="1:16" x14ac:dyDescent="0.25">
      <c r="A27" s="2" t="s">
        <v>18</v>
      </c>
      <c r="B27" s="2"/>
      <c r="C27" s="10">
        <v>0.1</v>
      </c>
      <c r="D27" s="8">
        <f>D24*C27</f>
        <v>0.7319183435434593</v>
      </c>
      <c r="E27" t="s">
        <v>88</v>
      </c>
      <c r="L27" s="103">
        <f>D31</f>
        <v>9.3670909606691897</v>
      </c>
      <c r="M27" s="104">
        <f>D3</f>
        <v>108</v>
      </c>
      <c r="N27" s="103">
        <f>L27*M27</f>
        <v>1011.6458237522725</v>
      </c>
      <c r="O27" s="2">
        <v>200</v>
      </c>
      <c r="P27" s="103">
        <f>N27*O27</f>
        <v>202329.16475045448</v>
      </c>
    </row>
    <row r="28" spans="1:16" x14ac:dyDescent="0.25">
      <c r="A28" s="11" t="s">
        <v>15</v>
      </c>
      <c r="B28" s="11"/>
      <c r="C28" s="11"/>
      <c r="D28" s="12">
        <f>D27+D26+D24</f>
        <v>8.7830201225215099</v>
      </c>
    </row>
    <row r="29" spans="1:16" x14ac:dyDescent="0.25">
      <c r="A29" s="2" t="s">
        <v>16</v>
      </c>
      <c r="B29" s="2"/>
      <c r="C29" s="13">
        <v>6.6500000000000004E-2</v>
      </c>
      <c r="D29" s="8">
        <f>D28*C29</f>
        <v>0.58407083814768046</v>
      </c>
      <c r="E29" t="s">
        <v>87</v>
      </c>
    </row>
    <row r="30" spans="1:16" x14ac:dyDescent="0.25">
      <c r="A30" s="2" t="s">
        <v>19</v>
      </c>
      <c r="B30" s="2"/>
      <c r="C30" s="10"/>
      <c r="D30" s="8"/>
    </row>
    <row r="31" spans="1:16" x14ac:dyDescent="0.25">
      <c r="A31" s="11" t="s">
        <v>25</v>
      </c>
      <c r="B31" s="11"/>
      <c r="C31" s="11"/>
      <c r="D31" s="12">
        <f>D28+D29</f>
        <v>9.3670909606691897</v>
      </c>
    </row>
    <row r="32" spans="1:16" x14ac:dyDescent="0.25">
      <c r="A32" s="15" t="s">
        <v>27</v>
      </c>
      <c r="B32" s="2"/>
      <c r="C32" s="2">
        <f>D5</f>
        <v>2592</v>
      </c>
      <c r="D32" s="8">
        <f>D31*C32</f>
        <v>24279.499770054539</v>
      </c>
    </row>
    <row r="34" spans="1:9" ht="50.25" customHeight="1" x14ac:dyDescent="0.25">
      <c r="A34" s="82" t="s">
        <v>152</v>
      </c>
      <c r="B34" s="82"/>
      <c r="C34" s="82"/>
      <c r="D34" s="82"/>
      <c r="E34" s="82"/>
    </row>
    <row r="35" spans="1:9" x14ac:dyDescent="0.25">
      <c r="A35" s="9" t="s">
        <v>62</v>
      </c>
      <c r="C35" s="71" t="s">
        <v>154</v>
      </c>
      <c r="D35" s="16"/>
      <c r="E35" s="71" t="s">
        <v>155</v>
      </c>
    </row>
    <row r="36" spans="1:9" x14ac:dyDescent="0.25">
      <c r="A36" s="11" t="s">
        <v>79</v>
      </c>
      <c r="B36" s="2"/>
      <c r="C36" s="3">
        <v>2448.1</v>
      </c>
      <c r="D36" s="8">
        <v>220</v>
      </c>
      <c r="E36" s="2">
        <v>1789.04</v>
      </c>
    </row>
    <row r="37" spans="1:9" x14ac:dyDescent="0.25">
      <c r="A37" s="2" t="s">
        <v>80</v>
      </c>
      <c r="B37" s="2"/>
      <c r="C37" s="3">
        <f>C36/D36*200</f>
        <v>2225.5454545454545</v>
      </c>
      <c r="D37" s="8"/>
      <c r="E37" s="69">
        <f>E36/D36*200</f>
        <v>1626.3999999999999</v>
      </c>
    </row>
    <row r="38" spans="1:9" x14ac:dyDescent="0.25">
      <c r="A38" s="2" t="s">
        <v>52</v>
      </c>
      <c r="B38" s="10">
        <v>0.2</v>
      </c>
      <c r="C38" s="8">
        <f>C37*B38</f>
        <v>445.10909090909092</v>
      </c>
      <c r="D38" s="2"/>
      <c r="E38" s="69">
        <f>E37*B38</f>
        <v>325.27999999999997</v>
      </c>
    </row>
    <row r="39" spans="1:9" x14ac:dyDescent="0.25">
      <c r="A39" s="31" t="s">
        <v>60</v>
      </c>
      <c r="B39" s="10"/>
      <c r="C39" s="8"/>
      <c r="D39" s="12">
        <f>C38+C37</f>
        <v>2670.6545454545453</v>
      </c>
      <c r="E39" s="70">
        <f>SUM(E37:E38)</f>
        <v>1951.6799999999998</v>
      </c>
    </row>
    <row r="40" spans="1:9" x14ac:dyDescent="0.25">
      <c r="A40" s="2" t="s">
        <v>53</v>
      </c>
      <c r="B40" s="2">
        <v>20</v>
      </c>
      <c r="C40" s="3">
        <v>9.4</v>
      </c>
      <c r="D40" s="3">
        <f>C40*B40</f>
        <v>188</v>
      </c>
      <c r="E40" s="8">
        <f>D40</f>
        <v>188</v>
      </c>
    </row>
    <row r="41" spans="1:9" x14ac:dyDescent="0.25">
      <c r="A41" s="2" t="s">
        <v>54</v>
      </c>
      <c r="B41" s="2">
        <v>1</v>
      </c>
      <c r="C41" s="3">
        <v>740</v>
      </c>
      <c r="D41" s="3">
        <f>B41*C41</f>
        <v>740</v>
      </c>
      <c r="E41" s="8">
        <f>D41</f>
        <v>740</v>
      </c>
    </row>
    <row r="42" spans="1:9" x14ac:dyDescent="0.25">
      <c r="A42" s="2" t="s">
        <v>81</v>
      </c>
      <c r="B42" s="2"/>
      <c r="C42" s="63">
        <v>5.0700000000000002E-2</v>
      </c>
      <c r="D42" s="3">
        <f>-D41*C42</f>
        <v>-37.518000000000001</v>
      </c>
      <c r="E42" s="69">
        <f>E41*C42</f>
        <v>37.518000000000001</v>
      </c>
    </row>
    <row r="43" spans="1:9" x14ac:dyDescent="0.25">
      <c r="A43" s="2" t="s">
        <v>82</v>
      </c>
      <c r="B43" s="2"/>
      <c r="C43" s="63">
        <v>0.06</v>
      </c>
      <c r="D43" s="3">
        <f>-C37*C43</f>
        <v>-133.53272727272727</v>
      </c>
      <c r="E43" s="8">
        <f>E37*C43</f>
        <v>97.583999999999989</v>
      </c>
    </row>
    <row r="44" spans="1:9" x14ac:dyDescent="0.25">
      <c r="A44" s="11" t="s">
        <v>55</v>
      </c>
      <c r="B44" s="11"/>
      <c r="C44" s="11"/>
      <c r="D44" s="12">
        <f>SUM(D39:D43)</f>
        <v>3427.603818181818</v>
      </c>
      <c r="E44" s="12">
        <f>SUM(E39:E43)</f>
        <v>3014.7819999999997</v>
      </c>
    </row>
    <row r="45" spans="1:9" x14ac:dyDescent="0.25">
      <c r="A45" s="2" t="s">
        <v>56</v>
      </c>
      <c r="B45" s="2"/>
      <c r="C45" s="2"/>
      <c r="D45" s="8">
        <f>D44/12</f>
        <v>285.63365151515148</v>
      </c>
      <c r="E45" s="8">
        <f>E44/12</f>
        <v>251.2318333333333</v>
      </c>
    </row>
    <row r="46" spans="1:9" x14ac:dyDescent="0.25">
      <c r="A46" s="2" t="s">
        <v>57</v>
      </c>
      <c r="B46" s="2"/>
      <c r="C46" s="2"/>
      <c r="D46" s="3">
        <f>(D44/3)/12</f>
        <v>95.211217171717166</v>
      </c>
      <c r="E46" s="3">
        <f>(E44/3)/12</f>
        <v>83.743944444444438</v>
      </c>
    </row>
    <row r="47" spans="1:9" x14ac:dyDescent="0.25">
      <c r="A47" s="11" t="s">
        <v>58</v>
      </c>
      <c r="B47" s="11"/>
      <c r="C47" s="11"/>
      <c r="D47" s="30">
        <f>D46+D45+D44</f>
        <v>3808.4486868686868</v>
      </c>
      <c r="E47" s="30">
        <f>E46+E45+E44</f>
        <v>3349.7577777777774</v>
      </c>
      <c r="F47" s="9" t="s">
        <v>59</v>
      </c>
      <c r="G47" s="9"/>
      <c r="H47" s="9"/>
      <c r="I47" s="29">
        <f>D39+D45+D46+E39+E45+E46</f>
        <v>5338.1551919191916</v>
      </c>
    </row>
    <row r="49" spans="1:9" ht="30" x14ac:dyDescent="0.25">
      <c r="A49" s="17" t="s">
        <v>29</v>
      </c>
      <c r="B49" s="79" t="s">
        <v>30</v>
      </c>
      <c r="C49" s="80"/>
      <c r="D49" s="80"/>
      <c r="E49" s="80"/>
      <c r="F49" s="80"/>
      <c r="G49" s="81"/>
      <c r="H49" s="18" t="s">
        <v>31</v>
      </c>
      <c r="I49" s="18" t="s">
        <v>32</v>
      </c>
    </row>
    <row r="50" spans="1:9" x14ac:dyDescent="0.25">
      <c r="A50" s="19" t="s">
        <v>33</v>
      </c>
      <c r="B50" s="76" t="s">
        <v>34</v>
      </c>
      <c r="C50" s="77"/>
      <c r="D50" s="77"/>
      <c r="E50" s="77"/>
      <c r="F50" s="77"/>
      <c r="G50" s="78"/>
      <c r="H50" s="20">
        <v>0.2</v>
      </c>
      <c r="I50" s="21">
        <f>$I$47*H50</f>
        <v>1067.6310383838384</v>
      </c>
    </row>
    <row r="51" spans="1:9" x14ac:dyDescent="0.25">
      <c r="A51" s="19" t="s">
        <v>35</v>
      </c>
      <c r="B51" s="76" t="s">
        <v>36</v>
      </c>
      <c r="C51" s="77"/>
      <c r="D51" s="77"/>
      <c r="E51" s="77"/>
      <c r="F51" s="77"/>
      <c r="G51" s="78"/>
      <c r="H51" s="20">
        <v>1.4999999999999999E-2</v>
      </c>
      <c r="I51" s="21">
        <f t="shared" ref="I51:I57" si="1">$I$47*H51</f>
        <v>80.072327878787874</v>
      </c>
    </row>
    <row r="52" spans="1:9" x14ac:dyDescent="0.25">
      <c r="A52" s="19" t="s">
        <v>37</v>
      </c>
      <c r="B52" s="76" t="s">
        <v>38</v>
      </c>
      <c r="C52" s="77"/>
      <c r="D52" s="77"/>
      <c r="E52" s="77"/>
      <c r="F52" s="77"/>
      <c r="G52" s="78"/>
      <c r="H52" s="20">
        <v>0.01</v>
      </c>
      <c r="I52" s="21">
        <f t="shared" si="1"/>
        <v>53.381551919191914</v>
      </c>
    </row>
    <row r="53" spans="1:9" x14ac:dyDescent="0.25">
      <c r="A53" s="19" t="s">
        <v>39</v>
      </c>
      <c r="B53" s="76" t="s">
        <v>40</v>
      </c>
      <c r="C53" s="77"/>
      <c r="D53" s="77"/>
      <c r="E53" s="77"/>
      <c r="F53" s="77"/>
      <c r="G53" s="78"/>
      <c r="H53" s="20">
        <v>2E-3</v>
      </c>
      <c r="I53" s="21">
        <f t="shared" si="1"/>
        <v>10.676310383838384</v>
      </c>
    </row>
    <row r="54" spans="1:9" x14ac:dyDescent="0.25">
      <c r="A54" s="19" t="s">
        <v>41</v>
      </c>
      <c r="B54" s="87" t="s">
        <v>42</v>
      </c>
      <c r="C54" s="88"/>
      <c r="D54" s="88"/>
      <c r="E54" s="88"/>
      <c r="F54" s="88"/>
      <c r="G54" s="89"/>
      <c r="H54" s="20">
        <v>2.5000000000000001E-2</v>
      </c>
      <c r="I54" s="21">
        <f t="shared" si="1"/>
        <v>133.45387979797979</v>
      </c>
    </row>
    <row r="55" spans="1:9" x14ac:dyDescent="0.25">
      <c r="A55" s="19" t="s">
        <v>43</v>
      </c>
      <c r="B55" s="87" t="s">
        <v>44</v>
      </c>
      <c r="C55" s="88"/>
      <c r="D55" s="88"/>
      <c r="E55" s="88"/>
      <c r="F55" s="88"/>
      <c r="G55" s="89"/>
      <c r="H55" s="22">
        <v>0.08</v>
      </c>
      <c r="I55" s="21">
        <f t="shared" si="1"/>
        <v>427.05241535353531</v>
      </c>
    </row>
    <row r="56" spans="1:9" x14ac:dyDescent="0.25">
      <c r="A56" s="19" t="s">
        <v>45</v>
      </c>
      <c r="B56" s="90" t="s">
        <v>46</v>
      </c>
      <c r="C56" s="91"/>
      <c r="D56" s="23" t="s">
        <v>47</v>
      </c>
      <c r="E56" s="24">
        <v>0.03</v>
      </c>
      <c r="F56" s="23" t="s">
        <v>48</v>
      </c>
      <c r="G56" s="25">
        <v>1</v>
      </c>
      <c r="H56" s="26">
        <f>ROUND((E56*G56),6)</f>
        <v>0.03</v>
      </c>
      <c r="I56" s="21">
        <f t="shared" si="1"/>
        <v>160.14465575757575</v>
      </c>
    </row>
    <row r="57" spans="1:9" x14ac:dyDescent="0.25">
      <c r="A57" s="19" t="s">
        <v>49</v>
      </c>
      <c r="B57" s="87" t="s">
        <v>50</v>
      </c>
      <c r="C57" s="88"/>
      <c r="D57" s="88"/>
      <c r="E57" s="88"/>
      <c r="F57" s="88"/>
      <c r="G57" s="89"/>
      <c r="H57" s="20">
        <v>6.0000000000000001E-3</v>
      </c>
      <c r="I57" s="21">
        <f t="shared" si="1"/>
        <v>32.028931151515152</v>
      </c>
    </row>
    <row r="58" spans="1:9" x14ac:dyDescent="0.25">
      <c r="A58" s="92" t="s">
        <v>51</v>
      </c>
      <c r="B58" s="93"/>
      <c r="C58" s="93"/>
      <c r="D58" s="93"/>
      <c r="E58" s="93"/>
      <c r="F58" s="93"/>
      <c r="G58" s="94"/>
      <c r="H58" s="27">
        <f>SUM(H50:H57)</f>
        <v>0.3680000000000001</v>
      </c>
      <c r="I58" s="28">
        <f>TRUNC(SUM(I50:I57),2)</f>
        <v>1964.44</v>
      </c>
    </row>
    <row r="60" spans="1:9" x14ac:dyDescent="0.25">
      <c r="A60" s="32" t="s">
        <v>63</v>
      </c>
      <c r="B60" s="2"/>
      <c r="C60" s="2"/>
      <c r="D60" s="2"/>
      <c r="E60" s="2"/>
      <c r="F60" s="2"/>
      <c r="G60" s="2"/>
      <c r="H60" s="2"/>
      <c r="I60" s="12">
        <f>D47+I58+E47</f>
        <v>9122.6464646464647</v>
      </c>
    </row>
    <row r="61" spans="1:9" x14ac:dyDescent="0.25">
      <c r="A61" s="33" t="s">
        <v>61</v>
      </c>
      <c r="B61" s="2"/>
      <c r="C61" s="2"/>
      <c r="D61" s="2"/>
      <c r="E61" s="2"/>
      <c r="F61" s="2"/>
      <c r="G61" s="2"/>
      <c r="H61" s="10">
        <v>1</v>
      </c>
      <c r="I61" s="12">
        <f>I60*H61</f>
        <v>9122.6464646464647</v>
      </c>
    </row>
    <row r="65" spans="1:1" x14ac:dyDescent="0.25">
      <c r="A65" s="34" t="s">
        <v>64</v>
      </c>
    </row>
    <row r="66" spans="1:1" x14ac:dyDescent="0.25">
      <c r="A66" s="35" t="s">
        <v>65</v>
      </c>
    </row>
    <row r="67" spans="1:1" x14ac:dyDescent="0.25">
      <c r="A67" s="35" t="s">
        <v>66</v>
      </c>
    </row>
    <row r="68" spans="1:1" x14ac:dyDescent="0.25">
      <c r="A68" s="35" t="s">
        <v>67</v>
      </c>
    </row>
    <row r="69" spans="1:1" x14ac:dyDescent="0.25">
      <c r="A69" s="35" t="s">
        <v>68</v>
      </c>
    </row>
    <row r="70" spans="1:1" x14ac:dyDescent="0.25">
      <c r="A70" s="35"/>
    </row>
    <row r="71" spans="1:1" x14ac:dyDescent="0.25">
      <c r="A71" s="35"/>
    </row>
    <row r="72" spans="1:1" x14ac:dyDescent="0.25">
      <c r="A72" s="35"/>
    </row>
    <row r="73" spans="1:1" x14ac:dyDescent="0.25">
      <c r="A73" s="36" t="s">
        <v>69</v>
      </c>
    </row>
    <row r="74" spans="1:1" x14ac:dyDescent="0.25">
      <c r="A74" s="37" t="s">
        <v>70</v>
      </c>
    </row>
    <row r="75" spans="1:1" x14ac:dyDescent="0.25">
      <c r="A75" s="37" t="s">
        <v>71</v>
      </c>
    </row>
    <row r="76" spans="1:1" x14ac:dyDescent="0.25">
      <c r="A76" s="37" t="s">
        <v>72</v>
      </c>
    </row>
    <row r="77" spans="1:1" x14ac:dyDescent="0.25">
      <c r="A77" s="37" t="s">
        <v>73</v>
      </c>
    </row>
    <row r="78" spans="1:1" x14ac:dyDescent="0.25">
      <c r="A78" s="37" t="s">
        <v>74</v>
      </c>
    </row>
    <row r="79" spans="1:1" x14ac:dyDescent="0.25">
      <c r="A79" s="37" t="s">
        <v>75</v>
      </c>
    </row>
    <row r="80" spans="1:1" x14ac:dyDescent="0.25">
      <c r="A80" s="38" t="s">
        <v>76</v>
      </c>
    </row>
    <row r="83" spans="1:1" x14ac:dyDescent="0.25">
      <c r="A83" s="42" t="s">
        <v>98</v>
      </c>
    </row>
    <row r="84" spans="1:1" x14ac:dyDescent="0.25">
      <c r="A84" s="37" t="s">
        <v>99</v>
      </c>
    </row>
    <row r="85" spans="1:1" x14ac:dyDescent="0.25">
      <c r="A85" s="37" t="s">
        <v>100</v>
      </c>
    </row>
    <row r="86" spans="1:1" x14ac:dyDescent="0.25">
      <c r="A86" s="37" t="s">
        <v>101</v>
      </c>
    </row>
    <row r="87" spans="1:1" x14ac:dyDescent="0.25">
      <c r="A87" s="37" t="s">
        <v>102</v>
      </c>
    </row>
    <row r="88" spans="1:1" x14ac:dyDescent="0.25">
      <c r="A88" s="37" t="s">
        <v>103</v>
      </c>
    </row>
    <row r="89" spans="1:1" x14ac:dyDescent="0.25">
      <c r="A89" s="37"/>
    </row>
    <row r="90" spans="1:1" x14ac:dyDescent="0.25">
      <c r="A90" s="37" t="s">
        <v>153</v>
      </c>
    </row>
    <row r="113" spans="1:2" x14ac:dyDescent="0.25">
      <c r="A113" t="s">
        <v>93</v>
      </c>
      <c r="B113" t="s">
        <v>125</v>
      </c>
    </row>
    <row r="129" spans="1:1" x14ac:dyDescent="0.25">
      <c r="A129" t="s">
        <v>94</v>
      </c>
    </row>
    <row r="130" spans="1:1" x14ac:dyDescent="0.25">
      <c r="A130" t="s">
        <v>95</v>
      </c>
    </row>
    <row r="148" spans="1:4" x14ac:dyDescent="0.25">
      <c r="A148" s="46"/>
      <c r="B148" s="47"/>
      <c r="C148" s="47"/>
      <c r="D148" s="49"/>
    </row>
    <row r="149" spans="1:4" x14ac:dyDescent="0.25">
      <c r="A149" s="46"/>
      <c r="B149" s="47"/>
      <c r="C149" s="47"/>
      <c r="D149" s="49"/>
    </row>
    <row r="150" spans="1:4" x14ac:dyDescent="0.25">
      <c r="A150" s="46"/>
      <c r="B150" s="47"/>
      <c r="C150" s="47"/>
      <c r="D150" s="49"/>
    </row>
    <row r="151" spans="1:4" x14ac:dyDescent="0.25">
      <c r="A151" s="50"/>
      <c r="B151" s="51"/>
      <c r="C151" s="51"/>
      <c r="D151" s="52"/>
    </row>
    <row r="153" spans="1:4" x14ac:dyDescent="0.25">
      <c r="C153" s="56"/>
    </row>
    <row r="157" spans="1:4" x14ac:dyDescent="0.25">
      <c r="A157" t="s">
        <v>106</v>
      </c>
    </row>
    <row r="189" spans="1:4" x14ac:dyDescent="0.25">
      <c r="A189" s="84" t="s">
        <v>113</v>
      </c>
      <c r="B189" s="85"/>
      <c r="C189" s="85"/>
      <c r="D189" s="86"/>
    </row>
    <row r="190" spans="1:4" x14ac:dyDescent="0.25">
      <c r="A190" s="46"/>
      <c r="B190" s="47"/>
      <c r="C190" s="47"/>
      <c r="D190" s="49"/>
    </row>
    <row r="191" spans="1:4" x14ac:dyDescent="0.25">
      <c r="A191" s="46"/>
      <c r="B191" s="47"/>
      <c r="C191" s="47"/>
      <c r="D191" s="49"/>
    </row>
    <row r="192" spans="1:4" x14ac:dyDescent="0.25">
      <c r="A192" s="46"/>
      <c r="B192" s="47"/>
      <c r="C192" s="47"/>
      <c r="D192" s="49"/>
    </row>
    <row r="193" spans="1:4" x14ac:dyDescent="0.25">
      <c r="A193" s="50" t="s">
        <v>140</v>
      </c>
      <c r="B193" s="51"/>
      <c r="C193" s="51"/>
      <c r="D193" s="52"/>
    </row>
  </sheetData>
  <mergeCells count="17">
    <mergeCell ref="B49:G49"/>
    <mergeCell ref="L25:P25"/>
    <mergeCell ref="A1:F1"/>
    <mergeCell ref="E7:G7"/>
    <mergeCell ref="E14:H14"/>
    <mergeCell ref="E15:H15"/>
    <mergeCell ref="A34:E34"/>
    <mergeCell ref="B56:C56"/>
    <mergeCell ref="B57:G57"/>
    <mergeCell ref="A58:G58"/>
    <mergeCell ref="A189:D189"/>
    <mergeCell ref="B50:G50"/>
    <mergeCell ref="B51:G51"/>
    <mergeCell ref="B52:G52"/>
    <mergeCell ref="B53:G53"/>
    <mergeCell ref="B54:G54"/>
    <mergeCell ref="B55:G55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4"/>
  <sheetViews>
    <sheetView zoomScaleNormal="100" workbookViewId="0">
      <selection activeCell="B15" sqref="B15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1.140625" bestFit="1" customWidth="1"/>
    <col min="5" max="5" width="48.5703125" customWidth="1"/>
    <col min="6" max="6" width="5.28515625" customWidth="1"/>
    <col min="7" max="7" width="9.140625" customWidth="1"/>
    <col min="8" max="8" width="9.85546875" customWidth="1"/>
    <col min="9" max="9" width="10.5703125" bestFit="1" customWidth="1"/>
    <col min="11" max="11" width="15.7109375" customWidth="1"/>
    <col min="12" max="12" width="15.28515625" customWidth="1"/>
    <col min="13" max="13" width="17" customWidth="1"/>
    <col min="14" max="14" width="14.140625" customWidth="1"/>
    <col min="15" max="15" width="14.5703125" customWidth="1"/>
  </cols>
  <sheetData>
    <row r="1" spans="1:6" x14ac:dyDescent="0.25">
      <c r="A1" s="83" t="s">
        <v>7</v>
      </c>
      <c r="B1" s="83"/>
      <c r="C1" s="83"/>
      <c r="D1" s="83"/>
      <c r="E1" s="83"/>
      <c r="F1" s="83"/>
    </row>
    <row r="2" spans="1:6" x14ac:dyDescent="0.25">
      <c r="A2" s="40" t="s">
        <v>83</v>
      </c>
      <c r="B2" s="40"/>
      <c r="C2" s="40"/>
      <c r="D2" s="40"/>
      <c r="E2" s="40"/>
      <c r="F2" s="40"/>
    </row>
    <row r="3" spans="1:6" x14ac:dyDescent="0.25">
      <c r="A3" s="40"/>
      <c r="B3" s="39" t="s">
        <v>77</v>
      </c>
      <c r="C3" s="40"/>
      <c r="D3" s="45">
        <v>236.5</v>
      </c>
      <c r="E3" s="40"/>
      <c r="F3" s="40"/>
    </row>
    <row r="4" spans="1:6" x14ac:dyDescent="0.25">
      <c r="A4" s="40"/>
      <c r="B4" s="39" t="s">
        <v>78</v>
      </c>
      <c r="C4" s="40"/>
      <c r="D4" s="40">
        <v>24</v>
      </c>
      <c r="E4" s="40"/>
      <c r="F4" s="40"/>
    </row>
    <row r="5" spans="1:6" x14ac:dyDescent="0.25">
      <c r="A5" s="9" t="s">
        <v>126</v>
      </c>
      <c r="B5" t="s">
        <v>23</v>
      </c>
      <c r="D5" s="44">
        <f>D3*D4</f>
        <v>5676</v>
      </c>
    </row>
    <row r="6" spans="1:6" x14ac:dyDescent="0.25">
      <c r="B6" t="s">
        <v>111</v>
      </c>
      <c r="D6" s="44">
        <f>D5*10</f>
        <v>56760</v>
      </c>
    </row>
    <row r="7" spans="1:6" x14ac:dyDescent="0.25">
      <c r="A7" s="40" t="s">
        <v>9</v>
      </c>
      <c r="B7" s="6">
        <v>196600</v>
      </c>
      <c r="C7" s="40"/>
      <c r="D7" s="40"/>
      <c r="E7" s="39" t="s">
        <v>112</v>
      </c>
      <c r="F7" s="40"/>
    </row>
    <row r="8" spans="1:6" x14ac:dyDescent="0.25">
      <c r="A8" s="40" t="s">
        <v>124</v>
      </c>
      <c r="B8" s="6">
        <f>B7*30%</f>
        <v>58980</v>
      </c>
      <c r="C8" s="40"/>
      <c r="D8" s="40"/>
      <c r="E8" s="39" t="s">
        <v>91</v>
      </c>
      <c r="F8" s="40"/>
    </row>
    <row r="9" spans="1:6" x14ac:dyDescent="0.25">
      <c r="A9" s="40" t="s">
        <v>10</v>
      </c>
      <c r="B9" s="6">
        <f>B7-B8</f>
        <v>137620</v>
      </c>
      <c r="C9" s="40"/>
      <c r="D9" s="40"/>
      <c r="E9" s="40"/>
      <c r="F9" s="40"/>
    </row>
    <row r="10" spans="1:6" x14ac:dyDescent="0.25">
      <c r="A10" s="40" t="s">
        <v>11</v>
      </c>
      <c r="B10" s="6">
        <v>60</v>
      </c>
      <c r="C10" s="6">
        <f>B9/B10</f>
        <v>2293.6666666666665</v>
      </c>
      <c r="D10" s="40"/>
      <c r="E10" s="39" t="s">
        <v>90</v>
      </c>
      <c r="F10" s="40"/>
    </row>
    <row r="11" spans="1:6" x14ac:dyDescent="0.25">
      <c r="A11" s="40" t="s">
        <v>13</v>
      </c>
      <c r="B11" s="14">
        <v>0.15</v>
      </c>
      <c r="C11" s="7">
        <f>B7*B11/12</f>
        <v>2457.5</v>
      </c>
      <c r="D11" s="40"/>
      <c r="E11" s="39" t="s">
        <v>105</v>
      </c>
      <c r="F11" s="40"/>
    </row>
    <row r="13" spans="1:6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6" ht="75" x14ac:dyDescent="0.25">
      <c r="A14" s="2" t="s">
        <v>2</v>
      </c>
      <c r="B14" s="2">
        <v>7.29</v>
      </c>
      <c r="C14" s="2">
        <v>3</v>
      </c>
      <c r="D14" s="3">
        <f t="shared" ref="D14:D23" si="0">B14/C14</f>
        <v>2.4300000000000002</v>
      </c>
      <c r="E14" s="41" t="s">
        <v>84</v>
      </c>
      <c r="F14" s="41"/>
    </row>
    <row r="15" spans="1:6" ht="28.9" customHeight="1" x14ac:dyDescent="0.25">
      <c r="A15" s="2" t="s">
        <v>6</v>
      </c>
      <c r="B15" s="3">
        <v>500</v>
      </c>
      <c r="C15" s="2">
        <f>D5</f>
        <v>5676</v>
      </c>
      <c r="D15" s="3">
        <f t="shared" si="0"/>
        <v>8.809020436927413E-2</v>
      </c>
      <c r="E15" s="41" t="s">
        <v>96</v>
      </c>
    </row>
    <row r="16" spans="1:6" x14ac:dyDescent="0.25">
      <c r="A16" s="2" t="s">
        <v>20</v>
      </c>
      <c r="B16" s="3"/>
      <c r="C16" s="2">
        <f>C15*12</f>
        <v>68112</v>
      </c>
      <c r="D16" s="3">
        <f t="shared" si="0"/>
        <v>0</v>
      </c>
    </row>
    <row r="17" spans="1:15" x14ac:dyDescent="0.25">
      <c r="A17" s="2" t="s">
        <v>3</v>
      </c>
      <c r="B17" s="3">
        <v>3306.04</v>
      </c>
      <c r="C17" s="2">
        <f>C15</f>
        <v>5676</v>
      </c>
      <c r="D17" s="3">
        <f t="shared" si="0"/>
        <v>0.58245947850599011</v>
      </c>
      <c r="E17" t="s">
        <v>85</v>
      </c>
    </row>
    <row r="18" spans="1:15" x14ac:dyDescent="0.25">
      <c r="A18" s="2" t="s">
        <v>114</v>
      </c>
      <c r="B18" s="3">
        <v>12105</v>
      </c>
      <c r="C18" s="2">
        <v>60000</v>
      </c>
      <c r="D18" s="3">
        <f t="shared" si="0"/>
        <v>0.20175000000000001</v>
      </c>
      <c r="E18" t="s">
        <v>92</v>
      </c>
    </row>
    <row r="19" spans="1:15" x14ac:dyDescent="0.25">
      <c r="A19" s="2" t="s">
        <v>26</v>
      </c>
      <c r="B19" s="3">
        <v>250</v>
      </c>
      <c r="C19" s="2">
        <f>C17</f>
        <v>5676</v>
      </c>
      <c r="D19" s="3">
        <f t="shared" si="0"/>
        <v>4.4045102184637065E-2</v>
      </c>
      <c r="E19" t="s">
        <v>97</v>
      </c>
    </row>
    <row r="20" spans="1:15" x14ac:dyDescent="0.25">
      <c r="A20" s="2" t="s">
        <v>107</v>
      </c>
      <c r="B20" s="3">
        <v>63.4</v>
      </c>
      <c r="C20" s="2">
        <f>C19</f>
        <v>5676</v>
      </c>
      <c r="D20" s="3">
        <f>B20/C20</f>
        <v>1.1169837914023961E-2</v>
      </c>
      <c r="E20" t="s">
        <v>108</v>
      </c>
    </row>
    <row r="21" spans="1:15" x14ac:dyDescent="0.25">
      <c r="A21" s="2" t="s">
        <v>4</v>
      </c>
      <c r="B21" s="3">
        <f>I61</f>
        <v>11227.424949494947</v>
      </c>
      <c r="C21" s="2">
        <f>C17</f>
        <v>5676</v>
      </c>
      <c r="D21" s="3">
        <f t="shared" si="0"/>
        <v>1.9780523166833945</v>
      </c>
      <c r="E21" t="s">
        <v>86</v>
      </c>
    </row>
    <row r="22" spans="1:15" x14ac:dyDescent="0.25">
      <c r="A22" s="2" t="s">
        <v>12</v>
      </c>
      <c r="B22" s="3">
        <f>C10</f>
        <v>2293.6666666666665</v>
      </c>
      <c r="C22" s="2">
        <f>C21</f>
        <v>5676</v>
      </c>
      <c r="D22" s="3">
        <f t="shared" si="0"/>
        <v>0.40409913084331689</v>
      </c>
      <c r="E22" t="s">
        <v>89</v>
      </c>
      <c r="K22" s="99" t="s">
        <v>156</v>
      </c>
      <c r="L22" s="100"/>
      <c r="M22" s="100"/>
      <c r="N22" s="100"/>
      <c r="O22" s="101"/>
    </row>
    <row r="23" spans="1:15" x14ac:dyDescent="0.25">
      <c r="A23" s="2" t="s">
        <v>14</v>
      </c>
      <c r="B23" s="8">
        <f>C11</f>
        <v>2457.5</v>
      </c>
      <c r="C23" s="2">
        <f>C22</f>
        <v>5676</v>
      </c>
      <c r="D23" s="3">
        <f t="shared" si="0"/>
        <v>0.43296335447498241</v>
      </c>
      <c r="E23" t="s">
        <v>89</v>
      </c>
      <c r="K23" s="102" t="s">
        <v>157</v>
      </c>
      <c r="L23" s="102" t="s">
        <v>160</v>
      </c>
      <c r="M23" s="102" t="s">
        <v>161</v>
      </c>
      <c r="N23" s="102" t="s">
        <v>158</v>
      </c>
      <c r="O23" s="102" t="s">
        <v>159</v>
      </c>
    </row>
    <row r="24" spans="1:15" x14ac:dyDescent="0.25">
      <c r="A24" s="4" t="s">
        <v>24</v>
      </c>
      <c r="B24" s="4"/>
      <c r="C24" s="4" t="s">
        <v>5</v>
      </c>
      <c r="D24" s="5">
        <f>SUM(D14:D23)</f>
        <v>6.1726294249756197</v>
      </c>
      <c r="K24" s="103">
        <f>D31</f>
        <v>7.8997311380837978</v>
      </c>
      <c r="L24" s="104">
        <f>D3</f>
        <v>236.5</v>
      </c>
      <c r="M24" s="103">
        <f>K24*L24</f>
        <v>1868.2864141568182</v>
      </c>
      <c r="N24" s="2">
        <v>200</v>
      </c>
      <c r="O24" s="103">
        <f>M24*N24</f>
        <v>373657.28283136361</v>
      </c>
    </row>
    <row r="26" spans="1:15" x14ac:dyDescent="0.25">
      <c r="A26" s="2" t="s">
        <v>17</v>
      </c>
      <c r="B26" s="2"/>
      <c r="C26" s="10">
        <v>0.1</v>
      </c>
      <c r="D26" s="8">
        <f>D24*C26</f>
        <v>0.61726294249756197</v>
      </c>
      <c r="E26" t="s">
        <v>88</v>
      </c>
    </row>
    <row r="27" spans="1:15" x14ac:dyDescent="0.25">
      <c r="A27" s="2" t="s">
        <v>18</v>
      </c>
      <c r="B27" s="2"/>
      <c r="C27" s="10">
        <v>0.1</v>
      </c>
      <c r="D27" s="8">
        <f>D24*C27</f>
        <v>0.61726294249756197</v>
      </c>
      <c r="E27" t="s">
        <v>88</v>
      </c>
    </row>
    <row r="28" spans="1:15" x14ac:dyDescent="0.25">
      <c r="A28" s="11" t="s">
        <v>15</v>
      </c>
      <c r="B28" s="11"/>
      <c r="C28" s="11"/>
      <c r="D28" s="12">
        <f>D27+D26+D24</f>
        <v>7.4071553099707437</v>
      </c>
    </row>
    <row r="29" spans="1:15" x14ac:dyDescent="0.25">
      <c r="A29" s="2" t="s">
        <v>16</v>
      </c>
      <c r="B29" s="2"/>
      <c r="C29" s="13">
        <v>6.6500000000000004E-2</v>
      </c>
      <c r="D29" s="8">
        <f>D28*C29</f>
        <v>0.4925758281130545</v>
      </c>
      <c r="E29" t="s">
        <v>87</v>
      </c>
    </row>
    <row r="30" spans="1:15" x14ac:dyDescent="0.25">
      <c r="A30" s="2" t="s">
        <v>19</v>
      </c>
      <c r="B30" s="2"/>
      <c r="C30" s="10"/>
      <c r="D30" s="8"/>
    </row>
    <row r="31" spans="1:15" x14ac:dyDescent="0.25">
      <c r="A31" s="11" t="s">
        <v>25</v>
      </c>
      <c r="B31" s="11"/>
      <c r="C31" s="11"/>
      <c r="D31" s="12">
        <f>D28+D29</f>
        <v>7.8997311380837978</v>
      </c>
    </row>
    <row r="32" spans="1:15" x14ac:dyDescent="0.25">
      <c r="A32" s="15" t="s">
        <v>27</v>
      </c>
      <c r="B32" s="2"/>
      <c r="C32" s="2">
        <f>D5</f>
        <v>5676</v>
      </c>
      <c r="D32" s="8">
        <f>D31*C32</f>
        <v>44838.873939763638</v>
      </c>
    </row>
    <row r="34" spans="1:9" ht="50.25" customHeight="1" x14ac:dyDescent="0.25">
      <c r="A34" s="82" t="s">
        <v>152</v>
      </c>
      <c r="B34" s="82"/>
      <c r="C34" s="82"/>
      <c r="D34" s="82"/>
      <c r="E34" s="82"/>
    </row>
    <row r="35" spans="1:9" x14ac:dyDescent="0.25">
      <c r="A35" s="9" t="s">
        <v>62</v>
      </c>
      <c r="C35" s="71" t="s">
        <v>154</v>
      </c>
      <c r="D35" s="16"/>
      <c r="E35" s="71" t="s">
        <v>155</v>
      </c>
    </row>
    <row r="36" spans="1:9" x14ac:dyDescent="0.25">
      <c r="A36" s="11" t="s">
        <v>79</v>
      </c>
      <c r="B36" s="2"/>
      <c r="C36" s="3">
        <v>3767.43</v>
      </c>
      <c r="D36" s="8">
        <v>220</v>
      </c>
      <c r="E36" s="2">
        <v>1789.04</v>
      </c>
    </row>
    <row r="37" spans="1:9" x14ac:dyDescent="0.25">
      <c r="A37" s="2" t="s">
        <v>80</v>
      </c>
      <c r="B37" s="2"/>
      <c r="C37" s="3">
        <f>C36/D36*200</f>
        <v>3424.9363636363632</v>
      </c>
      <c r="D37" s="8"/>
      <c r="E37" s="69">
        <f>E36/D36*200</f>
        <v>1626.3999999999999</v>
      </c>
    </row>
    <row r="38" spans="1:9" x14ac:dyDescent="0.25">
      <c r="A38" s="2" t="s">
        <v>52</v>
      </c>
      <c r="B38" s="10">
        <v>0.2</v>
      </c>
      <c r="C38" s="8">
        <f>C37*B38</f>
        <v>684.98727272727274</v>
      </c>
      <c r="D38" s="2"/>
      <c r="E38" s="69">
        <f>E37*B38</f>
        <v>325.27999999999997</v>
      </c>
    </row>
    <row r="39" spans="1:9" x14ac:dyDescent="0.25">
      <c r="A39" s="31" t="s">
        <v>60</v>
      </c>
      <c r="B39" s="10"/>
      <c r="C39" s="8"/>
      <c r="D39" s="12">
        <f>C38+C37</f>
        <v>4109.9236363636355</v>
      </c>
      <c r="E39" s="70">
        <f>SUM(E37:E38)</f>
        <v>1951.6799999999998</v>
      </c>
    </row>
    <row r="40" spans="1:9" x14ac:dyDescent="0.25">
      <c r="A40" s="2" t="s">
        <v>53</v>
      </c>
      <c r="B40" s="2">
        <v>20</v>
      </c>
      <c r="C40" s="3">
        <v>9.4</v>
      </c>
      <c r="D40" s="3">
        <f>C40*B40</f>
        <v>188</v>
      </c>
      <c r="E40" s="8">
        <f>D40</f>
        <v>188</v>
      </c>
    </row>
    <row r="41" spans="1:9" x14ac:dyDescent="0.25">
      <c r="A41" s="2" t="s">
        <v>54</v>
      </c>
      <c r="B41" s="2">
        <v>1</v>
      </c>
      <c r="C41" s="3">
        <v>740</v>
      </c>
      <c r="D41" s="3">
        <f>B41*C41</f>
        <v>740</v>
      </c>
      <c r="E41" s="8">
        <f>D41</f>
        <v>740</v>
      </c>
    </row>
    <row r="42" spans="1:9" x14ac:dyDescent="0.25">
      <c r="A42" s="2" t="s">
        <v>81</v>
      </c>
      <c r="B42" s="2"/>
      <c r="C42" s="63">
        <v>5.0700000000000002E-2</v>
      </c>
      <c r="D42" s="3">
        <f>-D41*C42</f>
        <v>-37.518000000000001</v>
      </c>
      <c r="E42" s="69">
        <f>E41*C42</f>
        <v>37.518000000000001</v>
      </c>
    </row>
    <row r="43" spans="1:9" x14ac:dyDescent="0.25">
      <c r="A43" s="2" t="s">
        <v>82</v>
      </c>
      <c r="B43" s="2"/>
      <c r="C43" s="63">
        <v>0.06</v>
      </c>
      <c r="D43" s="3">
        <f>-C37*C43</f>
        <v>-205.49618181818178</v>
      </c>
      <c r="E43" s="8">
        <f>E37*C43</f>
        <v>97.583999999999989</v>
      </c>
    </row>
    <row r="44" spans="1:9" x14ac:dyDescent="0.25">
      <c r="A44" s="11" t="s">
        <v>55</v>
      </c>
      <c r="B44" s="11"/>
      <c r="C44" s="11"/>
      <c r="D44" s="12">
        <f>SUM(D39:D43)</f>
        <v>4794.9094545454536</v>
      </c>
      <c r="E44" s="12">
        <f>SUM(E39:E43)</f>
        <v>3014.7819999999997</v>
      </c>
    </row>
    <row r="45" spans="1:9" x14ac:dyDescent="0.25">
      <c r="A45" s="2" t="s">
        <v>56</v>
      </c>
      <c r="B45" s="2"/>
      <c r="C45" s="2"/>
      <c r="D45" s="8">
        <f>D44/12</f>
        <v>399.57578787878782</v>
      </c>
      <c r="E45" s="8">
        <f>E44/12</f>
        <v>251.2318333333333</v>
      </c>
    </row>
    <row r="46" spans="1:9" x14ac:dyDescent="0.25">
      <c r="A46" s="2" t="s">
        <v>57</v>
      </c>
      <c r="B46" s="2"/>
      <c r="C46" s="2"/>
      <c r="D46" s="3">
        <f>(D44/3)/12</f>
        <v>133.19192929292927</v>
      </c>
      <c r="E46" s="3">
        <f>(E44/3)/12</f>
        <v>83.743944444444438</v>
      </c>
    </row>
    <row r="47" spans="1:9" x14ac:dyDescent="0.25">
      <c r="A47" s="11" t="s">
        <v>58</v>
      </c>
      <c r="B47" s="11"/>
      <c r="C47" s="11"/>
      <c r="D47" s="30">
        <f>D46+D45+D44</f>
        <v>5327.6771717171705</v>
      </c>
      <c r="E47" s="30">
        <f>E46+E45+E44</f>
        <v>3349.7577777777774</v>
      </c>
      <c r="F47" s="9" t="s">
        <v>59</v>
      </c>
      <c r="G47" s="9"/>
      <c r="H47" s="9"/>
      <c r="I47" s="29">
        <f>D39+D45+D46+E39+E45+E46</f>
        <v>6929.3471313131304</v>
      </c>
    </row>
    <row r="49" spans="1:9" ht="30" x14ac:dyDescent="0.25">
      <c r="A49" s="17" t="s">
        <v>29</v>
      </c>
      <c r="B49" s="79" t="s">
        <v>30</v>
      </c>
      <c r="C49" s="80"/>
      <c r="D49" s="80"/>
      <c r="E49" s="80"/>
      <c r="F49" s="80"/>
      <c r="G49" s="81"/>
      <c r="H49" s="18" t="s">
        <v>31</v>
      </c>
      <c r="I49" s="18" t="s">
        <v>32</v>
      </c>
    </row>
    <row r="50" spans="1:9" x14ac:dyDescent="0.25">
      <c r="A50" s="19" t="s">
        <v>33</v>
      </c>
      <c r="B50" s="76" t="s">
        <v>34</v>
      </c>
      <c r="C50" s="77"/>
      <c r="D50" s="77"/>
      <c r="E50" s="77"/>
      <c r="F50" s="77"/>
      <c r="G50" s="78"/>
      <c r="H50" s="20">
        <v>0.2</v>
      </c>
      <c r="I50" s="21">
        <f>$I$47*H50</f>
        <v>1385.8694262626261</v>
      </c>
    </row>
    <row r="51" spans="1:9" x14ac:dyDescent="0.25">
      <c r="A51" s="19" t="s">
        <v>35</v>
      </c>
      <c r="B51" s="76" t="s">
        <v>36</v>
      </c>
      <c r="C51" s="77"/>
      <c r="D51" s="77"/>
      <c r="E51" s="77"/>
      <c r="F51" s="77"/>
      <c r="G51" s="78"/>
      <c r="H51" s="20">
        <v>1.4999999999999999E-2</v>
      </c>
      <c r="I51" s="21">
        <f t="shared" ref="I51:I57" si="1">$I$47*H51</f>
        <v>103.94020696969694</v>
      </c>
    </row>
    <row r="52" spans="1:9" x14ac:dyDescent="0.25">
      <c r="A52" s="19" t="s">
        <v>37</v>
      </c>
      <c r="B52" s="76" t="s">
        <v>38</v>
      </c>
      <c r="C52" s="77"/>
      <c r="D52" s="77"/>
      <c r="E52" s="77"/>
      <c r="F52" s="77"/>
      <c r="G52" s="78"/>
      <c r="H52" s="20">
        <v>0.01</v>
      </c>
      <c r="I52" s="21">
        <f t="shared" si="1"/>
        <v>69.293471313131306</v>
      </c>
    </row>
    <row r="53" spans="1:9" x14ac:dyDescent="0.25">
      <c r="A53" s="19" t="s">
        <v>39</v>
      </c>
      <c r="B53" s="76" t="s">
        <v>40</v>
      </c>
      <c r="C53" s="77"/>
      <c r="D53" s="77"/>
      <c r="E53" s="77"/>
      <c r="F53" s="77"/>
      <c r="G53" s="78"/>
      <c r="H53" s="20">
        <v>2E-3</v>
      </c>
      <c r="I53" s="21">
        <f t="shared" si="1"/>
        <v>13.858694262626262</v>
      </c>
    </row>
    <row r="54" spans="1:9" x14ac:dyDescent="0.25">
      <c r="A54" s="19" t="s">
        <v>41</v>
      </c>
      <c r="B54" s="87" t="s">
        <v>42</v>
      </c>
      <c r="C54" s="88"/>
      <c r="D54" s="88"/>
      <c r="E54" s="88"/>
      <c r="F54" s="88"/>
      <c r="G54" s="89"/>
      <c r="H54" s="20">
        <v>2.5000000000000001E-2</v>
      </c>
      <c r="I54" s="21">
        <f t="shared" si="1"/>
        <v>173.23367828282827</v>
      </c>
    </row>
    <row r="55" spans="1:9" x14ac:dyDescent="0.25">
      <c r="A55" s="19" t="s">
        <v>43</v>
      </c>
      <c r="B55" s="87" t="s">
        <v>44</v>
      </c>
      <c r="C55" s="88"/>
      <c r="D55" s="88"/>
      <c r="E55" s="88"/>
      <c r="F55" s="88"/>
      <c r="G55" s="89"/>
      <c r="H55" s="22">
        <v>0.08</v>
      </c>
      <c r="I55" s="21">
        <f t="shared" si="1"/>
        <v>554.34777050505045</v>
      </c>
    </row>
    <row r="56" spans="1:9" ht="25.5" x14ac:dyDescent="0.25">
      <c r="A56" s="19" t="s">
        <v>45</v>
      </c>
      <c r="B56" s="90" t="s">
        <v>46</v>
      </c>
      <c r="C56" s="91"/>
      <c r="D56" s="23" t="s">
        <v>47</v>
      </c>
      <c r="E56" s="24">
        <v>0.03</v>
      </c>
      <c r="F56" s="23" t="s">
        <v>48</v>
      </c>
      <c r="G56" s="25">
        <v>1</v>
      </c>
      <c r="H56" s="26">
        <f>ROUND((E56*G56),6)</f>
        <v>0.03</v>
      </c>
      <c r="I56" s="21">
        <f t="shared" si="1"/>
        <v>207.88041393939389</v>
      </c>
    </row>
    <row r="57" spans="1:9" x14ac:dyDescent="0.25">
      <c r="A57" s="19" t="s">
        <v>49</v>
      </c>
      <c r="B57" s="87" t="s">
        <v>50</v>
      </c>
      <c r="C57" s="88"/>
      <c r="D57" s="88"/>
      <c r="E57" s="88"/>
      <c r="F57" s="88"/>
      <c r="G57" s="89"/>
      <c r="H57" s="20">
        <v>6.0000000000000001E-3</v>
      </c>
      <c r="I57" s="21">
        <f t="shared" si="1"/>
        <v>41.576082787878782</v>
      </c>
    </row>
    <row r="58" spans="1:9" x14ac:dyDescent="0.25">
      <c r="A58" s="92" t="s">
        <v>51</v>
      </c>
      <c r="B58" s="93"/>
      <c r="C58" s="93"/>
      <c r="D58" s="93"/>
      <c r="E58" s="93"/>
      <c r="F58" s="93"/>
      <c r="G58" s="94"/>
      <c r="H58" s="27">
        <f>SUM(H50:H57)</f>
        <v>0.3680000000000001</v>
      </c>
      <c r="I58" s="28">
        <f>TRUNC(SUM(I50:I57),2)</f>
        <v>2549.9899999999998</v>
      </c>
    </row>
    <row r="60" spans="1:9" x14ac:dyDescent="0.25">
      <c r="A60" s="32" t="s">
        <v>63</v>
      </c>
      <c r="B60" s="2"/>
      <c r="C60" s="2"/>
      <c r="D60" s="2"/>
      <c r="E60" s="2"/>
      <c r="F60" s="2"/>
      <c r="G60" s="2"/>
      <c r="H60" s="2"/>
      <c r="I60" s="12">
        <f>D47+I58+E47</f>
        <v>11227.424949494947</v>
      </c>
    </row>
    <row r="61" spans="1:9" x14ac:dyDescent="0.25">
      <c r="A61" s="33" t="s">
        <v>61</v>
      </c>
      <c r="B61" s="2"/>
      <c r="C61" s="2"/>
      <c r="D61" s="2"/>
      <c r="E61" s="2"/>
      <c r="F61" s="2"/>
      <c r="G61" s="2"/>
      <c r="H61" s="10">
        <v>1</v>
      </c>
      <c r="I61" s="12">
        <f>I60*H61</f>
        <v>11227.424949494947</v>
      </c>
    </row>
    <row r="65" spans="1:1" x14ac:dyDescent="0.25">
      <c r="A65" s="34" t="s">
        <v>64</v>
      </c>
    </row>
    <row r="66" spans="1:1" x14ac:dyDescent="0.25">
      <c r="A66" s="35" t="s">
        <v>65</v>
      </c>
    </row>
    <row r="67" spans="1:1" x14ac:dyDescent="0.25">
      <c r="A67" s="35" t="s">
        <v>66</v>
      </c>
    </row>
    <row r="68" spans="1:1" x14ac:dyDescent="0.25">
      <c r="A68" s="35" t="s">
        <v>67</v>
      </c>
    </row>
    <row r="69" spans="1:1" x14ac:dyDescent="0.25">
      <c r="A69" s="35" t="s">
        <v>68</v>
      </c>
    </row>
    <row r="70" spans="1:1" x14ac:dyDescent="0.25">
      <c r="A70" s="35"/>
    </row>
    <row r="71" spans="1:1" x14ac:dyDescent="0.25">
      <c r="A71" s="35"/>
    </row>
    <row r="72" spans="1:1" x14ac:dyDescent="0.25">
      <c r="A72" s="35"/>
    </row>
    <row r="73" spans="1:1" x14ac:dyDescent="0.25">
      <c r="A73" s="36" t="s">
        <v>69</v>
      </c>
    </row>
    <row r="74" spans="1:1" x14ac:dyDescent="0.25">
      <c r="A74" s="37" t="s">
        <v>70</v>
      </c>
    </row>
    <row r="75" spans="1:1" x14ac:dyDescent="0.25">
      <c r="A75" s="37" t="s">
        <v>71</v>
      </c>
    </row>
    <row r="76" spans="1:1" x14ac:dyDescent="0.25">
      <c r="A76" s="37" t="s">
        <v>72</v>
      </c>
    </row>
    <row r="77" spans="1:1" x14ac:dyDescent="0.25">
      <c r="A77" s="37" t="s">
        <v>73</v>
      </c>
    </row>
    <row r="78" spans="1:1" x14ac:dyDescent="0.25">
      <c r="A78" s="37" t="s">
        <v>74</v>
      </c>
    </row>
    <row r="79" spans="1:1" x14ac:dyDescent="0.25">
      <c r="A79" s="37" t="s">
        <v>75</v>
      </c>
    </row>
    <row r="80" spans="1:1" x14ac:dyDescent="0.25">
      <c r="A80" s="38" t="s">
        <v>76</v>
      </c>
    </row>
    <row r="82" spans="1:1" x14ac:dyDescent="0.25">
      <c r="A82" s="42" t="s">
        <v>98</v>
      </c>
    </row>
    <row r="83" spans="1:1" x14ac:dyDescent="0.25">
      <c r="A83" s="37" t="s">
        <v>99</v>
      </c>
    </row>
    <row r="84" spans="1:1" x14ac:dyDescent="0.25">
      <c r="A84" s="37" t="s">
        <v>100</v>
      </c>
    </row>
    <row r="85" spans="1:1" x14ac:dyDescent="0.25">
      <c r="A85" s="37" t="s">
        <v>102</v>
      </c>
    </row>
    <row r="86" spans="1:1" x14ac:dyDescent="0.25">
      <c r="A86" s="37" t="s">
        <v>103</v>
      </c>
    </row>
    <row r="87" spans="1:1" x14ac:dyDescent="0.25">
      <c r="A87" s="37"/>
    </row>
    <row r="88" spans="1:1" x14ac:dyDescent="0.25">
      <c r="A88" s="37" t="s">
        <v>153</v>
      </c>
    </row>
    <row r="111" spans="1:6" x14ac:dyDescent="0.25">
      <c r="A111" t="s">
        <v>93</v>
      </c>
      <c r="B111" t="s">
        <v>115</v>
      </c>
      <c r="C111" s="53">
        <v>2017.5</v>
      </c>
      <c r="D111" t="s">
        <v>116</v>
      </c>
      <c r="E111" s="57">
        <f>C111*6</f>
        <v>12105</v>
      </c>
    </row>
    <row r="112" spans="1:6" x14ac:dyDescent="0.25">
      <c r="A112" s="95" t="s">
        <v>129</v>
      </c>
      <c r="B112" s="95"/>
      <c r="C112" s="95"/>
      <c r="D112" s="95"/>
      <c r="E112" s="95"/>
      <c r="F112" s="95"/>
    </row>
    <row r="127" spans="1:1" x14ac:dyDescent="0.25">
      <c r="A127" t="s">
        <v>94</v>
      </c>
    </row>
    <row r="128" spans="1:1" x14ac:dyDescent="0.25">
      <c r="A128" t="s">
        <v>95</v>
      </c>
    </row>
    <row r="147" spans="1:4" ht="141.75" customHeight="1" x14ac:dyDescent="0.25">
      <c r="A147" s="84" t="s">
        <v>127</v>
      </c>
      <c r="B147" s="85"/>
      <c r="C147" s="85"/>
      <c r="D147" s="86"/>
    </row>
    <row r="148" spans="1:4" x14ac:dyDescent="0.25">
      <c r="B148" s="47"/>
      <c r="C148" s="47"/>
      <c r="D148" s="49"/>
    </row>
    <row r="149" spans="1:4" x14ac:dyDescent="0.25">
      <c r="A149" s="48"/>
      <c r="B149" s="47"/>
      <c r="C149" s="47"/>
      <c r="D149" s="49"/>
    </row>
    <row r="150" spans="1:4" x14ac:dyDescent="0.25">
      <c r="A150" s="48"/>
      <c r="B150" s="47"/>
      <c r="C150" s="47"/>
      <c r="D150" s="49"/>
    </row>
    <row r="151" spans="1:4" x14ac:dyDescent="0.25">
      <c r="A151" s="50" t="s">
        <v>128</v>
      </c>
      <c r="B151" s="51"/>
      <c r="C151" s="51"/>
      <c r="D151" s="52"/>
    </row>
    <row r="154" spans="1:4" x14ac:dyDescent="0.25">
      <c r="A154" t="s">
        <v>106</v>
      </c>
    </row>
  </sheetData>
  <mergeCells count="15">
    <mergeCell ref="K22:O22"/>
    <mergeCell ref="A147:D147"/>
    <mergeCell ref="A58:G58"/>
    <mergeCell ref="A1:F1"/>
    <mergeCell ref="B49:G49"/>
    <mergeCell ref="B50:G50"/>
    <mergeCell ref="B51:G51"/>
    <mergeCell ref="B52:G52"/>
    <mergeCell ref="B53:G53"/>
    <mergeCell ref="B54:G54"/>
    <mergeCell ref="B55:G55"/>
    <mergeCell ref="B56:C56"/>
    <mergeCell ref="B57:G57"/>
    <mergeCell ref="A112:F112"/>
    <mergeCell ref="A34:E34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8"/>
  <sheetViews>
    <sheetView workbookViewId="0">
      <selection activeCell="B15" sqref="B15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1.140625" bestFit="1" customWidth="1"/>
    <col min="5" max="5" width="23.7109375" customWidth="1"/>
    <col min="6" max="6" width="5.28515625" customWidth="1"/>
    <col min="7" max="7" width="9.140625" customWidth="1"/>
    <col min="8" max="8" width="9.85546875" customWidth="1"/>
    <col min="9" max="9" width="10.42578125" bestFit="1" customWidth="1"/>
    <col min="13" max="13" width="16.85546875" customWidth="1"/>
    <col min="14" max="14" width="17" customWidth="1"/>
    <col min="15" max="15" width="16.42578125" customWidth="1"/>
    <col min="16" max="16" width="16.5703125" customWidth="1"/>
    <col min="17" max="17" width="15.42578125" customWidth="1"/>
  </cols>
  <sheetData>
    <row r="1" spans="1:8" x14ac:dyDescent="0.25">
      <c r="A1" s="83" t="s">
        <v>7</v>
      </c>
      <c r="B1" s="83"/>
      <c r="C1" s="83"/>
      <c r="D1" s="83"/>
      <c r="E1" s="83"/>
      <c r="F1" s="83"/>
    </row>
    <row r="2" spans="1:8" x14ac:dyDescent="0.25">
      <c r="A2" s="54" t="s">
        <v>130</v>
      </c>
      <c r="B2" s="54"/>
      <c r="C2" s="54"/>
      <c r="D2" s="54"/>
      <c r="E2" s="54"/>
      <c r="F2" s="54"/>
    </row>
    <row r="3" spans="1:8" x14ac:dyDescent="0.25">
      <c r="A3" s="54"/>
      <c r="B3" s="39" t="s">
        <v>77</v>
      </c>
      <c r="C3" s="54"/>
      <c r="D3" s="45">
        <v>95.7</v>
      </c>
      <c r="E3" s="54"/>
      <c r="F3" s="54"/>
    </row>
    <row r="4" spans="1:8" x14ac:dyDescent="0.25">
      <c r="A4" s="54"/>
      <c r="B4" s="39" t="s">
        <v>78</v>
      </c>
      <c r="C4" s="54"/>
      <c r="D4" s="54">
        <v>24</v>
      </c>
      <c r="E4" s="54"/>
      <c r="F4" s="54"/>
    </row>
    <row r="5" spans="1:8" x14ac:dyDescent="0.25">
      <c r="A5" s="9" t="s">
        <v>117</v>
      </c>
      <c r="B5" t="s">
        <v>23</v>
      </c>
      <c r="D5" s="44">
        <f>D3*D4</f>
        <v>2296.8000000000002</v>
      </c>
    </row>
    <row r="6" spans="1:8" x14ac:dyDescent="0.25">
      <c r="B6" t="s">
        <v>111</v>
      </c>
      <c r="D6" s="44">
        <f>D5*10</f>
        <v>22968</v>
      </c>
    </row>
    <row r="7" spans="1:8" x14ac:dyDescent="0.25">
      <c r="A7" s="54" t="s">
        <v>9</v>
      </c>
      <c r="B7" s="6">
        <v>196600</v>
      </c>
      <c r="C7" s="54"/>
      <c r="D7" s="54"/>
      <c r="E7" s="96" t="s">
        <v>112</v>
      </c>
      <c r="F7" s="96"/>
      <c r="G7" s="96"/>
      <c r="H7" s="96"/>
    </row>
    <row r="8" spans="1:8" x14ac:dyDescent="0.25">
      <c r="A8" s="54" t="s">
        <v>124</v>
      </c>
      <c r="B8" s="6">
        <f>B7*30%</f>
        <v>58980</v>
      </c>
      <c r="C8" s="54"/>
      <c r="D8" s="54"/>
      <c r="E8" s="39" t="s">
        <v>91</v>
      </c>
      <c r="F8" s="54"/>
    </row>
    <row r="9" spans="1:8" x14ac:dyDescent="0.25">
      <c r="A9" s="54" t="s">
        <v>10</v>
      </c>
      <c r="B9" s="6">
        <f>B7-B8</f>
        <v>137620</v>
      </c>
      <c r="C9" s="54"/>
      <c r="D9" s="54"/>
      <c r="E9" s="54"/>
      <c r="F9" s="54"/>
    </row>
    <row r="10" spans="1:8" x14ac:dyDescent="0.25">
      <c r="A10" s="54" t="s">
        <v>11</v>
      </c>
      <c r="B10" s="6">
        <v>60</v>
      </c>
      <c r="C10" s="6">
        <f>B9/B10</f>
        <v>2293.6666666666665</v>
      </c>
      <c r="D10" s="54"/>
      <c r="E10" s="39" t="s">
        <v>90</v>
      </c>
      <c r="F10" s="54"/>
    </row>
    <row r="11" spans="1:8" x14ac:dyDescent="0.25">
      <c r="A11" s="54" t="s">
        <v>13</v>
      </c>
      <c r="B11" s="14">
        <v>0.15</v>
      </c>
      <c r="C11" s="7">
        <f>B7*B11/12</f>
        <v>2457.5</v>
      </c>
      <c r="D11" s="54"/>
      <c r="E11" s="39" t="s">
        <v>105</v>
      </c>
      <c r="F11" s="54"/>
    </row>
    <row r="13" spans="1:8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8" ht="70.150000000000006" customHeight="1" x14ac:dyDescent="0.25">
      <c r="A14" s="2" t="s">
        <v>2</v>
      </c>
      <c r="B14" s="2">
        <v>7.29</v>
      </c>
      <c r="C14" s="2">
        <v>4</v>
      </c>
      <c r="D14" s="3">
        <f t="shared" ref="D14:D23" si="0">B14/C14</f>
        <v>1.8225</v>
      </c>
      <c r="E14" s="97" t="s">
        <v>84</v>
      </c>
      <c r="F14" s="98"/>
      <c r="G14" s="98"/>
      <c r="H14" s="98"/>
    </row>
    <row r="15" spans="1:8" ht="28.9" customHeight="1" x14ac:dyDescent="0.25">
      <c r="A15" s="2" t="s">
        <v>6</v>
      </c>
      <c r="B15" s="3">
        <v>500</v>
      </c>
      <c r="C15" s="2">
        <f>D5</f>
        <v>2296.8000000000002</v>
      </c>
      <c r="D15" s="3">
        <f t="shared" si="0"/>
        <v>0.21769418321142459</v>
      </c>
      <c r="E15" s="41" t="s">
        <v>96</v>
      </c>
    </row>
    <row r="16" spans="1:8" x14ac:dyDescent="0.25">
      <c r="A16" s="2" t="s">
        <v>20</v>
      </c>
      <c r="B16" s="3"/>
      <c r="C16" s="2">
        <f>C15*12</f>
        <v>27561.600000000002</v>
      </c>
      <c r="D16" s="3">
        <f t="shared" si="0"/>
        <v>0</v>
      </c>
    </row>
    <row r="17" spans="1:17" x14ac:dyDescent="0.25">
      <c r="A17" s="2" t="s">
        <v>3</v>
      </c>
      <c r="B17" s="3">
        <v>3306.04</v>
      </c>
      <c r="C17" s="2">
        <f>C15</f>
        <v>2296.8000000000002</v>
      </c>
      <c r="D17" s="3">
        <f t="shared" si="0"/>
        <v>1.4394113549285963</v>
      </c>
      <c r="E17" t="s">
        <v>85</v>
      </c>
    </row>
    <row r="18" spans="1:17" x14ac:dyDescent="0.25">
      <c r="A18" s="2" t="s">
        <v>114</v>
      </c>
      <c r="B18" s="3">
        <v>12105</v>
      </c>
      <c r="C18" s="2">
        <v>60000</v>
      </c>
      <c r="D18" s="3">
        <f t="shared" si="0"/>
        <v>0.20175000000000001</v>
      </c>
      <c r="E18" t="s">
        <v>92</v>
      </c>
    </row>
    <row r="19" spans="1:17" x14ac:dyDescent="0.25">
      <c r="A19" s="2" t="s">
        <v>26</v>
      </c>
      <c r="B19" s="3">
        <v>250</v>
      </c>
      <c r="C19" s="2">
        <f>C17</f>
        <v>2296.8000000000002</v>
      </c>
      <c r="D19" s="3">
        <f t="shared" si="0"/>
        <v>0.10884709160571229</v>
      </c>
      <c r="E19" t="s">
        <v>97</v>
      </c>
    </row>
    <row r="20" spans="1:17" x14ac:dyDescent="0.25">
      <c r="A20" s="2" t="s">
        <v>107</v>
      </c>
      <c r="B20" s="3">
        <v>63.4</v>
      </c>
      <c r="C20" s="2">
        <f>C19</f>
        <v>2296.8000000000002</v>
      </c>
      <c r="D20" s="3">
        <f>B20/C20</f>
        <v>2.7603622431208636E-2</v>
      </c>
      <c r="E20" t="s">
        <v>108</v>
      </c>
    </row>
    <row r="21" spans="1:17" x14ac:dyDescent="0.25">
      <c r="A21" s="2" t="s">
        <v>4</v>
      </c>
      <c r="B21" s="3">
        <f>I61</f>
        <v>11227.424949494947</v>
      </c>
      <c r="C21" s="2">
        <f>C17</f>
        <v>2296.8000000000002</v>
      </c>
      <c r="D21" s="3">
        <f t="shared" si="0"/>
        <v>4.8882902078957446</v>
      </c>
      <c r="E21" t="s">
        <v>86</v>
      </c>
    </row>
    <row r="22" spans="1:17" x14ac:dyDescent="0.25">
      <c r="A22" s="2" t="s">
        <v>12</v>
      </c>
      <c r="B22" s="3">
        <f>C10</f>
        <v>2293.6666666666665</v>
      </c>
      <c r="C22" s="2">
        <f>C21</f>
        <v>2296.8000000000002</v>
      </c>
      <c r="D22" s="3">
        <f t="shared" si="0"/>
        <v>0.99863578311854162</v>
      </c>
      <c r="E22" t="s">
        <v>89</v>
      </c>
    </row>
    <row r="23" spans="1:17" x14ac:dyDescent="0.25">
      <c r="A23" s="2" t="s">
        <v>14</v>
      </c>
      <c r="B23" s="8">
        <f>C11</f>
        <v>2457.5</v>
      </c>
      <c r="C23" s="2">
        <f>C22</f>
        <v>2296.8000000000002</v>
      </c>
      <c r="D23" s="3">
        <f t="shared" si="0"/>
        <v>1.0699669104841518</v>
      </c>
      <c r="E23" t="s">
        <v>89</v>
      </c>
    </row>
    <row r="24" spans="1:17" x14ac:dyDescent="0.25">
      <c r="A24" s="4" t="s">
        <v>24</v>
      </c>
      <c r="B24" s="4"/>
      <c r="C24" s="4" t="s">
        <v>5</v>
      </c>
      <c r="D24" s="5">
        <f>SUM(D14:D23)</f>
        <v>10.774699153675378</v>
      </c>
    </row>
    <row r="25" spans="1:17" x14ac:dyDescent="0.25">
      <c r="M25" s="99" t="s">
        <v>156</v>
      </c>
      <c r="N25" s="100"/>
      <c r="O25" s="100"/>
      <c r="P25" s="100"/>
      <c r="Q25" s="101"/>
    </row>
    <row r="26" spans="1:17" x14ac:dyDescent="0.25">
      <c r="A26" s="2" t="s">
        <v>17</v>
      </c>
      <c r="B26" s="2"/>
      <c r="C26" s="10">
        <v>0.1</v>
      </c>
      <c r="D26" s="8">
        <f>D24*C26</f>
        <v>1.0774699153675378</v>
      </c>
      <c r="E26" t="s">
        <v>88</v>
      </c>
      <c r="M26" s="102" t="s">
        <v>157</v>
      </c>
      <c r="N26" s="102" t="s">
        <v>160</v>
      </c>
      <c r="O26" s="102" t="s">
        <v>161</v>
      </c>
      <c r="P26" s="102" t="s">
        <v>158</v>
      </c>
      <c r="Q26" s="102" t="s">
        <v>159</v>
      </c>
    </row>
    <row r="27" spans="1:17" x14ac:dyDescent="0.25">
      <c r="A27" s="2" t="s">
        <v>18</v>
      </c>
      <c r="B27" s="2"/>
      <c r="C27" s="10">
        <v>0.1</v>
      </c>
      <c r="D27" s="8">
        <f>D24*C27</f>
        <v>1.0774699153675378</v>
      </c>
      <c r="E27" t="s">
        <v>88</v>
      </c>
      <c r="M27" s="103">
        <f>D31</f>
        <v>13.789459976873749</v>
      </c>
      <c r="N27" s="104">
        <f>D3</f>
        <v>95.7</v>
      </c>
      <c r="O27" s="103">
        <f>M27*N27</f>
        <v>1319.6513197868178</v>
      </c>
      <c r="P27" s="2">
        <v>200</v>
      </c>
      <c r="Q27" s="103">
        <f>O27*P27</f>
        <v>263930.26395736355</v>
      </c>
    </row>
    <row r="28" spans="1:17" x14ac:dyDescent="0.25">
      <c r="A28" s="11" t="s">
        <v>15</v>
      </c>
      <c r="B28" s="11"/>
      <c r="C28" s="11"/>
      <c r="D28" s="12">
        <f>D27+D26+D24</f>
        <v>12.929638984410454</v>
      </c>
    </row>
    <row r="29" spans="1:17" x14ac:dyDescent="0.25">
      <c r="A29" s="2" t="s">
        <v>16</v>
      </c>
      <c r="B29" s="2"/>
      <c r="C29" s="13">
        <v>6.6500000000000004E-2</v>
      </c>
      <c r="D29" s="8">
        <f>D28*C29</f>
        <v>0.85982099246329524</v>
      </c>
      <c r="E29" t="s">
        <v>87</v>
      </c>
    </row>
    <row r="30" spans="1:17" x14ac:dyDescent="0.25">
      <c r="A30" s="2" t="s">
        <v>19</v>
      </c>
      <c r="B30" s="2"/>
      <c r="C30" s="10"/>
      <c r="D30" s="8"/>
    </row>
    <row r="31" spans="1:17" x14ac:dyDescent="0.25">
      <c r="A31" s="11" t="s">
        <v>25</v>
      </c>
      <c r="B31" s="11"/>
      <c r="C31" s="11"/>
      <c r="D31" s="12">
        <f>D28+D29</f>
        <v>13.789459976873749</v>
      </c>
    </row>
    <row r="32" spans="1:17" x14ac:dyDescent="0.25">
      <c r="A32" s="15" t="s">
        <v>27</v>
      </c>
      <c r="B32" s="2"/>
      <c r="C32" s="2">
        <f>D5</f>
        <v>2296.8000000000002</v>
      </c>
      <c r="D32" s="8">
        <f>D31*C32</f>
        <v>31671.631674883629</v>
      </c>
    </row>
    <row r="34" spans="1:9" ht="50.25" customHeight="1" x14ac:dyDescent="0.25">
      <c r="A34" s="82" t="s">
        <v>152</v>
      </c>
      <c r="B34" s="82"/>
      <c r="C34" s="82"/>
      <c r="D34" s="82"/>
      <c r="E34" s="82"/>
    </row>
    <row r="35" spans="1:9" x14ac:dyDescent="0.25">
      <c r="A35" s="9" t="s">
        <v>62</v>
      </c>
      <c r="C35" s="71" t="s">
        <v>154</v>
      </c>
      <c r="D35" s="16"/>
      <c r="E35" s="71" t="s">
        <v>155</v>
      </c>
    </row>
    <row r="36" spans="1:9" x14ac:dyDescent="0.25">
      <c r="A36" s="11" t="s">
        <v>79</v>
      </c>
      <c r="B36" s="2"/>
      <c r="C36" s="3">
        <v>3767.43</v>
      </c>
      <c r="D36" s="8">
        <v>220</v>
      </c>
      <c r="E36" s="2">
        <v>1789.04</v>
      </c>
    </row>
    <row r="37" spans="1:9" x14ac:dyDescent="0.25">
      <c r="A37" s="2" t="s">
        <v>80</v>
      </c>
      <c r="B37" s="2"/>
      <c r="C37" s="3">
        <f>C36/D36*200</f>
        <v>3424.9363636363632</v>
      </c>
      <c r="D37" s="8"/>
      <c r="E37" s="69">
        <f>E36/D36*200</f>
        <v>1626.3999999999999</v>
      </c>
    </row>
    <row r="38" spans="1:9" x14ac:dyDescent="0.25">
      <c r="A38" s="2" t="s">
        <v>52</v>
      </c>
      <c r="B38" s="10">
        <v>0.2</v>
      </c>
      <c r="C38" s="8">
        <f>C37*B38</f>
        <v>684.98727272727274</v>
      </c>
      <c r="D38" s="2"/>
      <c r="E38" s="69">
        <f>E37*B38</f>
        <v>325.27999999999997</v>
      </c>
    </row>
    <row r="39" spans="1:9" x14ac:dyDescent="0.25">
      <c r="A39" s="31" t="s">
        <v>60</v>
      </c>
      <c r="B39" s="10"/>
      <c r="C39" s="8"/>
      <c r="D39" s="12">
        <f>C38+C37</f>
        <v>4109.9236363636355</v>
      </c>
      <c r="E39" s="70">
        <f>SUM(E37:E38)</f>
        <v>1951.6799999999998</v>
      </c>
    </row>
    <row r="40" spans="1:9" x14ac:dyDescent="0.25">
      <c r="A40" s="2" t="s">
        <v>53</v>
      </c>
      <c r="B40" s="2">
        <v>20</v>
      </c>
      <c r="C40" s="3">
        <v>9.4</v>
      </c>
      <c r="D40" s="3">
        <f>C40*B40</f>
        <v>188</v>
      </c>
      <c r="E40" s="8">
        <f>D40</f>
        <v>188</v>
      </c>
    </row>
    <row r="41" spans="1:9" x14ac:dyDescent="0.25">
      <c r="A41" s="2" t="s">
        <v>54</v>
      </c>
      <c r="B41" s="2">
        <v>1</v>
      </c>
      <c r="C41" s="3">
        <v>740</v>
      </c>
      <c r="D41" s="3">
        <f>B41*C41</f>
        <v>740</v>
      </c>
      <c r="E41" s="8">
        <f>D41</f>
        <v>740</v>
      </c>
    </row>
    <row r="42" spans="1:9" x14ac:dyDescent="0.25">
      <c r="A42" s="2" t="s">
        <v>81</v>
      </c>
      <c r="B42" s="2"/>
      <c r="C42" s="63">
        <v>5.0700000000000002E-2</v>
      </c>
      <c r="D42" s="3">
        <f>-D41*C42</f>
        <v>-37.518000000000001</v>
      </c>
      <c r="E42" s="69">
        <f>E41*C42</f>
        <v>37.518000000000001</v>
      </c>
    </row>
    <row r="43" spans="1:9" x14ac:dyDescent="0.25">
      <c r="A43" s="2" t="s">
        <v>82</v>
      </c>
      <c r="B43" s="2"/>
      <c r="C43" s="63">
        <v>0.06</v>
      </c>
      <c r="D43" s="3">
        <f>-C37*C43</f>
        <v>-205.49618181818178</v>
      </c>
      <c r="E43" s="8">
        <f>E37*C43</f>
        <v>97.583999999999989</v>
      </c>
    </row>
    <row r="44" spans="1:9" x14ac:dyDescent="0.25">
      <c r="A44" s="11" t="s">
        <v>55</v>
      </c>
      <c r="B44" s="11"/>
      <c r="C44" s="11"/>
      <c r="D44" s="12">
        <f>SUM(D39:D43)</f>
        <v>4794.9094545454536</v>
      </c>
      <c r="E44" s="12">
        <f>SUM(E39:E43)</f>
        <v>3014.7819999999997</v>
      </c>
    </row>
    <row r="45" spans="1:9" x14ac:dyDescent="0.25">
      <c r="A45" s="2" t="s">
        <v>56</v>
      </c>
      <c r="B45" s="2"/>
      <c r="C45" s="2"/>
      <c r="D45" s="8">
        <f>D44/12</f>
        <v>399.57578787878782</v>
      </c>
      <c r="E45" s="8">
        <f>E44/12</f>
        <v>251.2318333333333</v>
      </c>
    </row>
    <row r="46" spans="1:9" x14ac:dyDescent="0.25">
      <c r="A46" s="2" t="s">
        <v>57</v>
      </c>
      <c r="B46" s="2"/>
      <c r="C46" s="2"/>
      <c r="D46" s="3">
        <f>(D44/3)/12</f>
        <v>133.19192929292927</v>
      </c>
      <c r="E46" s="3">
        <f>(E44/3)/12</f>
        <v>83.743944444444438</v>
      </c>
    </row>
    <row r="47" spans="1:9" x14ac:dyDescent="0.25">
      <c r="A47" s="11" t="s">
        <v>58</v>
      </c>
      <c r="B47" s="11"/>
      <c r="C47" s="11"/>
      <c r="D47" s="30">
        <f>D46+D45+D44</f>
        <v>5327.6771717171705</v>
      </c>
      <c r="E47" s="30">
        <f>E46+E45+E44</f>
        <v>3349.7577777777774</v>
      </c>
      <c r="F47" s="9" t="s">
        <v>59</v>
      </c>
      <c r="G47" s="9"/>
      <c r="H47" s="9"/>
      <c r="I47" s="29">
        <f>D39+D45+D46+E39+E45+E46</f>
        <v>6929.3471313131304</v>
      </c>
    </row>
    <row r="49" spans="1:9" ht="30" x14ac:dyDescent="0.25">
      <c r="A49" s="17" t="s">
        <v>29</v>
      </c>
      <c r="B49" s="79" t="s">
        <v>30</v>
      </c>
      <c r="C49" s="80"/>
      <c r="D49" s="80"/>
      <c r="E49" s="80"/>
      <c r="F49" s="80"/>
      <c r="G49" s="81"/>
      <c r="H49" s="18" t="s">
        <v>31</v>
      </c>
      <c r="I49" s="18" t="s">
        <v>32</v>
      </c>
    </row>
    <row r="50" spans="1:9" x14ac:dyDescent="0.25">
      <c r="A50" s="19" t="s">
        <v>33</v>
      </c>
      <c r="B50" s="76" t="s">
        <v>34</v>
      </c>
      <c r="C50" s="77"/>
      <c r="D50" s="77"/>
      <c r="E50" s="77"/>
      <c r="F50" s="77"/>
      <c r="G50" s="78"/>
      <c r="H50" s="20">
        <v>0.2</v>
      </c>
      <c r="I50" s="21">
        <f>$I$47*H50</f>
        <v>1385.8694262626261</v>
      </c>
    </row>
    <row r="51" spans="1:9" x14ac:dyDescent="0.25">
      <c r="A51" s="19" t="s">
        <v>35</v>
      </c>
      <c r="B51" s="76" t="s">
        <v>36</v>
      </c>
      <c r="C51" s="77"/>
      <c r="D51" s="77"/>
      <c r="E51" s="77"/>
      <c r="F51" s="77"/>
      <c r="G51" s="78"/>
      <c r="H51" s="20">
        <v>1.4999999999999999E-2</v>
      </c>
      <c r="I51" s="21">
        <f t="shared" ref="I51:I57" si="1">$I$47*H51</f>
        <v>103.94020696969694</v>
      </c>
    </row>
    <row r="52" spans="1:9" x14ac:dyDescent="0.25">
      <c r="A52" s="19" t="s">
        <v>37</v>
      </c>
      <c r="B52" s="76" t="s">
        <v>38</v>
      </c>
      <c r="C52" s="77"/>
      <c r="D52" s="77"/>
      <c r="E52" s="77"/>
      <c r="F52" s="77"/>
      <c r="G52" s="78"/>
      <c r="H52" s="20">
        <v>0.01</v>
      </c>
      <c r="I52" s="21">
        <f t="shared" si="1"/>
        <v>69.293471313131306</v>
      </c>
    </row>
    <row r="53" spans="1:9" x14ac:dyDescent="0.25">
      <c r="A53" s="19" t="s">
        <v>39</v>
      </c>
      <c r="B53" s="76" t="s">
        <v>40</v>
      </c>
      <c r="C53" s="77"/>
      <c r="D53" s="77"/>
      <c r="E53" s="77"/>
      <c r="F53" s="77"/>
      <c r="G53" s="78"/>
      <c r="H53" s="20">
        <v>2E-3</v>
      </c>
      <c r="I53" s="21">
        <f t="shared" si="1"/>
        <v>13.858694262626262</v>
      </c>
    </row>
    <row r="54" spans="1:9" x14ac:dyDescent="0.25">
      <c r="A54" s="19" t="s">
        <v>41</v>
      </c>
      <c r="B54" s="87" t="s">
        <v>42</v>
      </c>
      <c r="C54" s="88"/>
      <c r="D54" s="88"/>
      <c r="E54" s="88"/>
      <c r="F54" s="88"/>
      <c r="G54" s="89"/>
      <c r="H54" s="20">
        <v>2.5000000000000001E-2</v>
      </c>
      <c r="I54" s="21">
        <f t="shared" si="1"/>
        <v>173.23367828282827</v>
      </c>
    </row>
    <row r="55" spans="1:9" x14ac:dyDescent="0.25">
      <c r="A55" s="19" t="s">
        <v>43</v>
      </c>
      <c r="B55" s="87" t="s">
        <v>44</v>
      </c>
      <c r="C55" s="88"/>
      <c r="D55" s="88"/>
      <c r="E55" s="88"/>
      <c r="F55" s="88"/>
      <c r="G55" s="89"/>
      <c r="H55" s="22">
        <v>0.08</v>
      </c>
      <c r="I55" s="21">
        <f t="shared" si="1"/>
        <v>554.34777050505045</v>
      </c>
    </row>
    <row r="56" spans="1:9" ht="25.5" x14ac:dyDescent="0.25">
      <c r="A56" s="19" t="s">
        <v>45</v>
      </c>
      <c r="B56" s="90" t="s">
        <v>46</v>
      </c>
      <c r="C56" s="91"/>
      <c r="D56" s="23" t="s">
        <v>47</v>
      </c>
      <c r="E56" s="24">
        <v>0.03</v>
      </c>
      <c r="F56" s="23" t="s">
        <v>48</v>
      </c>
      <c r="G56" s="25">
        <v>1</v>
      </c>
      <c r="H56" s="26">
        <f>ROUND((E56*G56),6)</f>
        <v>0.03</v>
      </c>
      <c r="I56" s="21">
        <f t="shared" si="1"/>
        <v>207.88041393939389</v>
      </c>
    </row>
    <row r="57" spans="1:9" x14ac:dyDescent="0.25">
      <c r="A57" s="19" t="s">
        <v>49</v>
      </c>
      <c r="B57" s="87" t="s">
        <v>50</v>
      </c>
      <c r="C57" s="88"/>
      <c r="D57" s="88"/>
      <c r="E57" s="88"/>
      <c r="F57" s="88"/>
      <c r="G57" s="89"/>
      <c r="H57" s="20">
        <v>6.0000000000000001E-3</v>
      </c>
      <c r="I57" s="21">
        <f t="shared" si="1"/>
        <v>41.576082787878782</v>
      </c>
    </row>
    <row r="58" spans="1:9" x14ac:dyDescent="0.25">
      <c r="A58" s="92" t="s">
        <v>51</v>
      </c>
      <c r="B58" s="93"/>
      <c r="C58" s="93"/>
      <c r="D58" s="93"/>
      <c r="E58" s="93"/>
      <c r="F58" s="93"/>
      <c r="G58" s="94"/>
      <c r="H58" s="27">
        <f>SUM(H50:H57)</f>
        <v>0.3680000000000001</v>
      </c>
      <c r="I58" s="28">
        <f>TRUNC(SUM(I50:I57),2)</f>
        <v>2549.9899999999998</v>
      </c>
    </row>
    <row r="60" spans="1:9" x14ac:dyDescent="0.25">
      <c r="A60" s="32" t="s">
        <v>63</v>
      </c>
      <c r="B60" s="2"/>
      <c r="C60" s="2"/>
      <c r="D60" s="2"/>
      <c r="E60" s="2"/>
      <c r="F60" s="2"/>
      <c r="G60" s="2"/>
      <c r="H60" s="2"/>
      <c r="I60" s="12">
        <f>D47+I58+E47</f>
        <v>11227.424949494947</v>
      </c>
    </row>
    <row r="61" spans="1:9" x14ac:dyDescent="0.25">
      <c r="A61" s="33" t="s">
        <v>61</v>
      </c>
      <c r="B61" s="2"/>
      <c r="C61" s="2"/>
      <c r="D61" s="2"/>
      <c r="E61" s="2"/>
      <c r="F61" s="2"/>
      <c r="G61" s="2"/>
      <c r="H61" s="10">
        <v>1</v>
      </c>
      <c r="I61" s="12">
        <f>I60*H61</f>
        <v>11227.424949494947</v>
      </c>
    </row>
    <row r="65" spans="1:1" x14ac:dyDescent="0.25">
      <c r="A65" s="34" t="s">
        <v>64</v>
      </c>
    </row>
    <row r="66" spans="1:1" x14ac:dyDescent="0.25">
      <c r="A66" s="35" t="s">
        <v>65</v>
      </c>
    </row>
    <row r="67" spans="1:1" x14ac:dyDescent="0.25">
      <c r="A67" s="35" t="s">
        <v>66</v>
      </c>
    </row>
    <row r="68" spans="1:1" x14ac:dyDescent="0.25">
      <c r="A68" s="35" t="s">
        <v>67</v>
      </c>
    </row>
    <row r="69" spans="1:1" x14ac:dyDescent="0.25">
      <c r="A69" s="35" t="s">
        <v>68</v>
      </c>
    </row>
    <row r="70" spans="1:1" x14ac:dyDescent="0.25">
      <c r="A70" s="35"/>
    </row>
    <row r="71" spans="1:1" x14ac:dyDescent="0.25">
      <c r="A71" s="35"/>
    </row>
    <row r="72" spans="1:1" x14ac:dyDescent="0.25">
      <c r="A72" s="35"/>
    </row>
    <row r="73" spans="1:1" x14ac:dyDescent="0.25">
      <c r="A73" s="36" t="s">
        <v>69</v>
      </c>
    </row>
    <row r="74" spans="1:1" x14ac:dyDescent="0.25">
      <c r="A74" s="37" t="s">
        <v>70</v>
      </c>
    </row>
    <row r="75" spans="1:1" x14ac:dyDescent="0.25">
      <c r="A75" s="37" t="s">
        <v>71</v>
      </c>
    </row>
    <row r="76" spans="1:1" x14ac:dyDescent="0.25">
      <c r="A76" s="37" t="s">
        <v>72</v>
      </c>
    </row>
    <row r="77" spans="1:1" x14ac:dyDescent="0.25">
      <c r="A77" s="37" t="s">
        <v>73</v>
      </c>
    </row>
    <row r="78" spans="1:1" x14ac:dyDescent="0.25">
      <c r="A78" s="37" t="s">
        <v>74</v>
      </c>
    </row>
    <row r="79" spans="1:1" x14ac:dyDescent="0.25">
      <c r="A79" s="37" t="s">
        <v>75</v>
      </c>
    </row>
    <row r="80" spans="1:1" x14ac:dyDescent="0.25">
      <c r="A80" s="38" t="s">
        <v>76</v>
      </c>
    </row>
    <row r="82" spans="1:1" x14ac:dyDescent="0.25">
      <c r="A82" s="42" t="s">
        <v>98</v>
      </c>
    </row>
    <row r="83" spans="1:1" x14ac:dyDescent="0.25">
      <c r="A83" s="37" t="s">
        <v>99</v>
      </c>
    </row>
    <row r="84" spans="1:1" x14ac:dyDescent="0.25">
      <c r="A84" s="37" t="s">
        <v>100</v>
      </c>
    </row>
    <row r="85" spans="1:1" x14ac:dyDescent="0.25">
      <c r="A85" s="37" t="s">
        <v>102</v>
      </c>
    </row>
    <row r="86" spans="1:1" x14ac:dyDescent="0.25">
      <c r="A86" s="37" t="s">
        <v>103</v>
      </c>
    </row>
    <row r="87" spans="1:1" x14ac:dyDescent="0.25">
      <c r="A87" s="37"/>
    </row>
    <row r="88" spans="1:1" x14ac:dyDescent="0.25">
      <c r="A88" s="37" t="s">
        <v>153</v>
      </c>
    </row>
    <row r="111" spans="1:6" x14ac:dyDescent="0.25">
      <c r="A111" t="s">
        <v>93</v>
      </c>
      <c r="B111" t="s">
        <v>115</v>
      </c>
      <c r="C111" s="53">
        <v>2017.5</v>
      </c>
      <c r="D111" t="s">
        <v>116</v>
      </c>
      <c r="E111" s="57">
        <f>C111*6</f>
        <v>12105</v>
      </c>
    </row>
    <row r="112" spans="1:6" x14ac:dyDescent="0.25">
      <c r="A112" s="95" t="s">
        <v>129</v>
      </c>
      <c r="B112" s="95"/>
      <c r="C112" s="95"/>
      <c r="D112" s="95"/>
      <c r="E112" s="95"/>
      <c r="F112" s="95"/>
    </row>
    <row r="127" spans="1:1" x14ac:dyDescent="0.25">
      <c r="A127" t="s">
        <v>94</v>
      </c>
    </row>
    <row r="128" spans="1:1" x14ac:dyDescent="0.25">
      <c r="A128" t="s">
        <v>95</v>
      </c>
    </row>
    <row r="147" spans="1:4" ht="141.75" customHeight="1" x14ac:dyDescent="0.25">
      <c r="A147" s="84" t="s">
        <v>118</v>
      </c>
      <c r="B147" s="85"/>
      <c r="C147" s="85"/>
      <c r="D147" s="86"/>
    </row>
    <row r="148" spans="1:4" x14ac:dyDescent="0.25">
      <c r="B148" s="47"/>
      <c r="C148" s="47"/>
      <c r="D148" s="49"/>
    </row>
    <row r="149" spans="1:4" x14ac:dyDescent="0.25">
      <c r="A149" s="48"/>
      <c r="B149" s="47"/>
      <c r="C149" s="47"/>
      <c r="D149" s="49"/>
    </row>
    <row r="150" spans="1:4" x14ac:dyDescent="0.25">
      <c r="A150" s="48"/>
      <c r="B150" s="47"/>
      <c r="C150" s="47"/>
      <c r="D150" s="49"/>
    </row>
    <row r="151" spans="1:4" x14ac:dyDescent="0.25">
      <c r="A151" s="50" t="s">
        <v>128</v>
      </c>
      <c r="B151" s="51"/>
      <c r="C151" s="51"/>
      <c r="D151" s="52"/>
    </row>
    <row r="158" spans="1:4" x14ac:dyDescent="0.25">
      <c r="A158" t="s">
        <v>106</v>
      </c>
    </row>
  </sheetData>
  <mergeCells count="17">
    <mergeCell ref="M25:Q25"/>
    <mergeCell ref="B52:G52"/>
    <mergeCell ref="A1:F1"/>
    <mergeCell ref="B49:G49"/>
    <mergeCell ref="B50:G50"/>
    <mergeCell ref="B51:G51"/>
    <mergeCell ref="E7:H7"/>
    <mergeCell ref="E14:H14"/>
    <mergeCell ref="A34:E34"/>
    <mergeCell ref="A112:F112"/>
    <mergeCell ref="A147:D147"/>
    <mergeCell ref="B53:G53"/>
    <mergeCell ref="B54:G54"/>
    <mergeCell ref="B55:G55"/>
    <mergeCell ref="B56:C56"/>
    <mergeCell ref="B57:G57"/>
    <mergeCell ref="A58:G58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66"/>
  <sheetViews>
    <sheetView workbookViewId="0">
      <selection activeCell="H29" sqref="H29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1.140625" bestFit="1" customWidth="1"/>
    <col min="5" max="5" width="23.7109375" customWidth="1"/>
    <col min="6" max="6" width="5.28515625" customWidth="1"/>
    <col min="7" max="7" width="9.140625" customWidth="1"/>
    <col min="8" max="8" width="9.85546875" customWidth="1"/>
    <col min="9" max="9" width="10.42578125" bestFit="1" customWidth="1"/>
    <col min="13" max="13" width="15.5703125" customWidth="1"/>
    <col min="14" max="14" width="16.140625" customWidth="1"/>
    <col min="15" max="15" width="15.28515625" customWidth="1"/>
    <col min="16" max="16" width="14.140625" customWidth="1"/>
    <col min="17" max="17" width="15.140625" customWidth="1"/>
  </cols>
  <sheetData>
    <row r="1" spans="1:8" x14ac:dyDescent="0.25">
      <c r="A1" s="83" t="s">
        <v>7</v>
      </c>
      <c r="B1" s="83"/>
      <c r="C1" s="83"/>
      <c r="D1" s="83"/>
      <c r="E1" s="83"/>
      <c r="F1" s="83"/>
    </row>
    <row r="2" spans="1:8" x14ac:dyDescent="0.25">
      <c r="A2" s="54" t="s">
        <v>131</v>
      </c>
      <c r="B2" s="54"/>
      <c r="C2" s="54"/>
      <c r="D2" s="54"/>
      <c r="E2" s="54"/>
      <c r="F2" s="54"/>
    </row>
    <row r="3" spans="1:8" x14ac:dyDescent="0.25">
      <c r="A3" s="54"/>
      <c r="B3" s="39" t="s">
        <v>77</v>
      </c>
      <c r="C3" s="54"/>
      <c r="D3" s="45">
        <v>40.200000000000003</v>
      </c>
      <c r="E3" s="54"/>
      <c r="F3" s="54"/>
    </row>
    <row r="4" spans="1:8" x14ac:dyDescent="0.25">
      <c r="A4" s="54"/>
      <c r="B4" s="39" t="s">
        <v>78</v>
      </c>
      <c r="C4" s="54"/>
      <c r="D4" s="54">
        <v>24</v>
      </c>
      <c r="E4" s="54"/>
      <c r="F4" s="54"/>
    </row>
    <row r="5" spans="1:8" x14ac:dyDescent="0.25">
      <c r="A5" s="9" t="s">
        <v>117</v>
      </c>
      <c r="B5" t="s">
        <v>23</v>
      </c>
      <c r="D5" s="44">
        <f>D3*D4</f>
        <v>964.80000000000007</v>
      </c>
    </row>
    <row r="6" spans="1:8" x14ac:dyDescent="0.25">
      <c r="B6" t="s">
        <v>111</v>
      </c>
      <c r="D6" s="44">
        <f>D5*10</f>
        <v>9648</v>
      </c>
    </row>
    <row r="7" spans="1:8" x14ac:dyDescent="0.25">
      <c r="A7" s="54" t="s">
        <v>9</v>
      </c>
      <c r="B7" s="6">
        <v>196600</v>
      </c>
      <c r="C7" s="54"/>
      <c r="D7" s="54"/>
      <c r="E7" s="96" t="s">
        <v>112</v>
      </c>
      <c r="F7" s="96"/>
      <c r="G7" s="96"/>
      <c r="H7" s="96"/>
    </row>
    <row r="8" spans="1:8" x14ac:dyDescent="0.25">
      <c r="A8" s="54" t="s">
        <v>124</v>
      </c>
      <c r="B8" s="6">
        <f>B7*30%</f>
        <v>58980</v>
      </c>
      <c r="C8" s="54"/>
      <c r="D8" s="54"/>
      <c r="E8" s="39" t="s">
        <v>91</v>
      </c>
      <c r="F8" s="54"/>
    </row>
    <row r="9" spans="1:8" x14ac:dyDescent="0.25">
      <c r="A9" s="54" t="s">
        <v>10</v>
      </c>
      <c r="B9" s="6">
        <f>B7-B8</f>
        <v>137620</v>
      </c>
      <c r="C9" s="54"/>
      <c r="D9" s="54"/>
      <c r="E9" s="54"/>
      <c r="F9" s="54"/>
    </row>
    <row r="10" spans="1:8" x14ac:dyDescent="0.25">
      <c r="A10" s="54" t="s">
        <v>11</v>
      </c>
      <c r="B10" s="6">
        <v>60</v>
      </c>
      <c r="C10" s="6">
        <f>B9/B10</f>
        <v>2293.6666666666665</v>
      </c>
      <c r="D10" s="54"/>
      <c r="E10" s="39" t="s">
        <v>90</v>
      </c>
      <c r="F10" s="54"/>
    </row>
    <row r="11" spans="1:8" x14ac:dyDescent="0.25">
      <c r="A11" s="54" t="s">
        <v>13</v>
      </c>
      <c r="B11" s="14">
        <v>0.15</v>
      </c>
      <c r="C11" s="7">
        <f>B7*B11/12</f>
        <v>2457.5</v>
      </c>
      <c r="D11" s="54"/>
      <c r="E11" s="39" t="s">
        <v>105</v>
      </c>
      <c r="F11" s="54"/>
    </row>
    <row r="13" spans="1:8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8" ht="64.150000000000006" customHeight="1" x14ac:dyDescent="0.25">
      <c r="A14" s="2" t="s">
        <v>2</v>
      </c>
      <c r="B14" s="2">
        <v>7.29</v>
      </c>
      <c r="C14" s="2">
        <v>4</v>
      </c>
      <c r="D14" s="3">
        <f t="shared" ref="D14:D23" si="0">B14/C14</f>
        <v>1.8225</v>
      </c>
      <c r="E14" s="97" t="s">
        <v>84</v>
      </c>
      <c r="F14" s="98"/>
      <c r="G14" s="98"/>
      <c r="H14" s="98"/>
    </row>
    <row r="15" spans="1:8" ht="28.9" customHeight="1" x14ac:dyDescent="0.25">
      <c r="A15" s="2" t="s">
        <v>6</v>
      </c>
      <c r="B15" s="3">
        <v>500</v>
      </c>
      <c r="C15" s="2">
        <f>D5</f>
        <v>964.80000000000007</v>
      </c>
      <c r="D15" s="3">
        <f t="shared" si="0"/>
        <v>0.51824212271973458</v>
      </c>
      <c r="E15" s="41" t="s">
        <v>96</v>
      </c>
    </row>
    <row r="16" spans="1:8" x14ac:dyDescent="0.25">
      <c r="A16" s="2" t="s">
        <v>20</v>
      </c>
      <c r="B16" s="3"/>
      <c r="C16" s="2">
        <f>C15*12</f>
        <v>11577.6</v>
      </c>
      <c r="D16" s="3">
        <f t="shared" si="0"/>
        <v>0</v>
      </c>
    </row>
    <row r="17" spans="1:17" x14ac:dyDescent="0.25">
      <c r="A17" s="2" t="s">
        <v>3</v>
      </c>
      <c r="B17" s="3">
        <v>3306.04</v>
      </c>
      <c r="C17" s="2">
        <f>C15</f>
        <v>964.80000000000007</v>
      </c>
      <c r="D17" s="3">
        <f t="shared" si="0"/>
        <v>3.4266583747927029</v>
      </c>
      <c r="E17" t="s">
        <v>85</v>
      </c>
    </row>
    <row r="18" spans="1:17" x14ac:dyDescent="0.25">
      <c r="A18" s="2" t="s">
        <v>114</v>
      </c>
      <c r="B18" s="3">
        <v>12105</v>
      </c>
      <c r="C18" s="2">
        <v>60000</v>
      </c>
      <c r="D18" s="3">
        <f t="shared" si="0"/>
        <v>0.20175000000000001</v>
      </c>
      <c r="E18" t="s">
        <v>92</v>
      </c>
    </row>
    <row r="19" spans="1:17" x14ac:dyDescent="0.25">
      <c r="A19" s="2" t="s">
        <v>26</v>
      </c>
      <c r="B19" s="3">
        <v>250</v>
      </c>
      <c r="C19" s="2">
        <f>C17</f>
        <v>964.80000000000007</v>
      </c>
      <c r="D19" s="3">
        <f t="shared" si="0"/>
        <v>0.25912106135986729</v>
      </c>
      <c r="E19" t="s">
        <v>97</v>
      </c>
    </row>
    <row r="20" spans="1:17" x14ac:dyDescent="0.25">
      <c r="A20" s="2" t="s">
        <v>107</v>
      </c>
      <c r="B20" s="3">
        <v>63.4</v>
      </c>
      <c r="C20" s="2">
        <f>C19</f>
        <v>964.80000000000007</v>
      </c>
      <c r="D20" s="3">
        <f>B20/C20</f>
        <v>6.5713101160862347E-2</v>
      </c>
      <c r="E20" t="s">
        <v>108</v>
      </c>
    </row>
    <row r="21" spans="1:17" x14ac:dyDescent="0.25">
      <c r="A21" s="2" t="s">
        <v>4</v>
      </c>
      <c r="B21" s="3">
        <f>I61</f>
        <v>11227.424949494947</v>
      </c>
      <c r="C21" s="2">
        <f>C17</f>
        <v>964.80000000000007</v>
      </c>
      <c r="D21" s="3">
        <f t="shared" si="0"/>
        <v>11.637049077005541</v>
      </c>
      <c r="E21" t="s">
        <v>86</v>
      </c>
      <c r="M21" s="99" t="s">
        <v>156</v>
      </c>
      <c r="N21" s="100"/>
      <c r="O21" s="100"/>
      <c r="P21" s="100"/>
      <c r="Q21" s="101"/>
    </row>
    <row r="22" spans="1:17" x14ac:dyDescent="0.25">
      <c r="A22" s="2" t="s">
        <v>12</v>
      </c>
      <c r="B22" s="3">
        <f>C10</f>
        <v>2293.6666666666665</v>
      </c>
      <c r="C22" s="2">
        <f>C21</f>
        <v>964.80000000000007</v>
      </c>
      <c r="D22" s="3">
        <f t="shared" si="0"/>
        <v>2.3773493642896626</v>
      </c>
      <c r="E22" t="s">
        <v>89</v>
      </c>
      <c r="M22" s="102" t="s">
        <v>157</v>
      </c>
      <c r="N22" s="102" t="s">
        <v>160</v>
      </c>
      <c r="O22" s="102" t="s">
        <v>161</v>
      </c>
      <c r="P22" s="102" t="s">
        <v>158</v>
      </c>
      <c r="Q22" s="102" t="s">
        <v>159</v>
      </c>
    </row>
    <row r="23" spans="1:17" x14ac:dyDescent="0.25">
      <c r="A23" s="2" t="s">
        <v>14</v>
      </c>
      <c r="B23" s="8">
        <f>C11</f>
        <v>2457.5</v>
      </c>
      <c r="C23" s="2">
        <f>C22</f>
        <v>964.80000000000007</v>
      </c>
      <c r="D23" s="3">
        <f t="shared" si="0"/>
        <v>2.5471600331674957</v>
      </c>
      <c r="E23" t="s">
        <v>89</v>
      </c>
      <c r="M23" s="103">
        <f>D31</f>
        <v>29.250524103527813</v>
      </c>
      <c r="N23" s="104">
        <f>D3</f>
        <v>40.200000000000003</v>
      </c>
      <c r="O23" s="103">
        <f>M23*N23</f>
        <v>1175.8710689618181</v>
      </c>
      <c r="P23" s="2">
        <v>200</v>
      </c>
      <c r="Q23" s="103">
        <f>O23*P23</f>
        <v>235174.21379236362</v>
      </c>
    </row>
    <row r="24" spans="1:17" x14ac:dyDescent="0.25">
      <c r="A24" s="4" t="s">
        <v>24</v>
      </c>
      <c r="B24" s="4"/>
      <c r="C24" s="4" t="s">
        <v>5</v>
      </c>
      <c r="D24" s="5">
        <f>SUM(D14:D23)</f>
        <v>22.855543134495868</v>
      </c>
    </row>
    <row r="26" spans="1:17" x14ac:dyDescent="0.25">
      <c r="A26" s="2" t="s">
        <v>17</v>
      </c>
      <c r="B26" s="2"/>
      <c r="C26" s="10">
        <v>0.1</v>
      </c>
      <c r="D26" s="8">
        <f>D24*C26</f>
        <v>2.285554313449587</v>
      </c>
      <c r="E26" t="s">
        <v>88</v>
      </c>
    </row>
    <row r="27" spans="1:17" x14ac:dyDescent="0.25">
      <c r="A27" s="2" t="s">
        <v>18</v>
      </c>
      <c r="B27" s="2"/>
      <c r="C27" s="10">
        <v>0.1</v>
      </c>
      <c r="D27" s="8">
        <f>D24*C27</f>
        <v>2.285554313449587</v>
      </c>
      <c r="E27" t="s">
        <v>88</v>
      </c>
    </row>
    <row r="28" spans="1:17" x14ac:dyDescent="0.25">
      <c r="A28" s="11" t="s">
        <v>15</v>
      </c>
      <c r="B28" s="11"/>
      <c r="C28" s="11"/>
      <c r="D28" s="12">
        <f>D27+D26+D24</f>
        <v>27.426651761395043</v>
      </c>
    </row>
    <row r="29" spans="1:17" x14ac:dyDescent="0.25">
      <c r="A29" s="2" t="s">
        <v>16</v>
      </c>
      <c r="B29" s="2"/>
      <c r="C29" s="13">
        <v>6.6500000000000004E-2</v>
      </c>
      <c r="D29" s="8">
        <f>D28*C29</f>
        <v>1.8238723421327705</v>
      </c>
      <c r="E29" t="s">
        <v>87</v>
      </c>
    </row>
    <row r="30" spans="1:17" x14ac:dyDescent="0.25">
      <c r="A30" s="2" t="s">
        <v>19</v>
      </c>
      <c r="B30" s="2"/>
      <c r="C30" s="10"/>
      <c r="D30" s="8"/>
    </row>
    <row r="31" spans="1:17" x14ac:dyDescent="0.25">
      <c r="A31" s="11" t="s">
        <v>25</v>
      </c>
      <c r="B31" s="11"/>
      <c r="C31" s="11"/>
      <c r="D31" s="12">
        <f>D28+D29</f>
        <v>29.250524103527813</v>
      </c>
    </row>
    <row r="32" spans="1:17" x14ac:dyDescent="0.25">
      <c r="A32" s="15" t="s">
        <v>27</v>
      </c>
      <c r="B32" s="2"/>
      <c r="C32" s="2">
        <f>D5</f>
        <v>964.80000000000007</v>
      </c>
      <c r="D32" s="8">
        <f>D31*C32</f>
        <v>28220.905655083636</v>
      </c>
    </row>
    <row r="34" spans="1:9" ht="50.25" customHeight="1" x14ac:dyDescent="0.25">
      <c r="A34" s="82" t="s">
        <v>152</v>
      </c>
      <c r="B34" s="82"/>
      <c r="C34" s="82"/>
      <c r="D34" s="82"/>
      <c r="E34" s="82"/>
    </row>
    <row r="35" spans="1:9" x14ac:dyDescent="0.25">
      <c r="A35" s="9" t="s">
        <v>62</v>
      </c>
      <c r="C35" s="71" t="s">
        <v>154</v>
      </c>
      <c r="D35" s="16"/>
      <c r="E35" s="71" t="s">
        <v>155</v>
      </c>
    </row>
    <row r="36" spans="1:9" x14ac:dyDescent="0.25">
      <c r="A36" s="11" t="s">
        <v>79</v>
      </c>
      <c r="B36" s="2"/>
      <c r="C36" s="3">
        <v>3767.43</v>
      </c>
      <c r="D36" s="8">
        <v>220</v>
      </c>
      <c r="E36" s="2">
        <v>1789.04</v>
      </c>
    </row>
    <row r="37" spans="1:9" x14ac:dyDescent="0.25">
      <c r="A37" s="2" t="s">
        <v>80</v>
      </c>
      <c r="B37" s="2"/>
      <c r="C37" s="3">
        <f>C36/D36*200</f>
        <v>3424.9363636363632</v>
      </c>
      <c r="D37" s="8"/>
      <c r="E37" s="69">
        <f>E36/D36*200</f>
        <v>1626.3999999999999</v>
      </c>
    </row>
    <row r="38" spans="1:9" x14ac:dyDescent="0.25">
      <c r="A38" s="2" t="s">
        <v>52</v>
      </c>
      <c r="B38" s="10">
        <v>0.2</v>
      </c>
      <c r="C38" s="8">
        <f>C37*B38</f>
        <v>684.98727272727274</v>
      </c>
      <c r="D38" s="2"/>
      <c r="E38" s="69">
        <f>E37*B38</f>
        <v>325.27999999999997</v>
      </c>
    </row>
    <row r="39" spans="1:9" x14ac:dyDescent="0.25">
      <c r="A39" s="31" t="s">
        <v>60</v>
      </c>
      <c r="B39" s="10"/>
      <c r="C39" s="8"/>
      <c r="D39" s="12">
        <f>C38+C37</f>
        <v>4109.9236363636355</v>
      </c>
      <c r="E39" s="70">
        <f>SUM(E37:E38)</f>
        <v>1951.6799999999998</v>
      </c>
    </row>
    <row r="40" spans="1:9" x14ac:dyDescent="0.25">
      <c r="A40" s="2" t="s">
        <v>53</v>
      </c>
      <c r="B40" s="2">
        <v>20</v>
      </c>
      <c r="C40" s="3">
        <v>9.4</v>
      </c>
      <c r="D40" s="3">
        <f>C40*B40</f>
        <v>188</v>
      </c>
      <c r="E40" s="8">
        <f>D40</f>
        <v>188</v>
      </c>
    </row>
    <row r="41" spans="1:9" x14ac:dyDescent="0.25">
      <c r="A41" s="2" t="s">
        <v>54</v>
      </c>
      <c r="B41" s="2">
        <v>1</v>
      </c>
      <c r="C41" s="3">
        <v>740</v>
      </c>
      <c r="D41" s="3">
        <f>B41*C41</f>
        <v>740</v>
      </c>
      <c r="E41" s="8">
        <f>D41</f>
        <v>740</v>
      </c>
    </row>
    <row r="42" spans="1:9" x14ac:dyDescent="0.25">
      <c r="A42" s="2" t="s">
        <v>81</v>
      </c>
      <c r="B42" s="2"/>
      <c r="C42" s="63">
        <v>5.0700000000000002E-2</v>
      </c>
      <c r="D42" s="3">
        <f>-D41*C42</f>
        <v>-37.518000000000001</v>
      </c>
      <c r="E42" s="69">
        <f>E41*C42</f>
        <v>37.518000000000001</v>
      </c>
    </row>
    <row r="43" spans="1:9" x14ac:dyDescent="0.25">
      <c r="A43" s="2" t="s">
        <v>82</v>
      </c>
      <c r="B43" s="2"/>
      <c r="C43" s="63">
        <v>0.06</v>
      </c>
      <c r="D43" s="3">
        <f>-C37*C43</f>
        <v>-205.49618181818178</v>
      </c>
      <c r="E43" s="8">
        <f>E37*C43</f>
        <v>97.583999999999989</v>
      </c>
    </row>
    <row r="44" spans="1:9" x14ac:dyDescent="0.25">
      <c r="A44" s="11" t="s">
        <v>55</v>
      </c>
      <c r="B44" s="11"/>
      <c r="C44" s="11"/>
      <c r="D44" s="12">
        <f>SUM(D39:D43)</f>
        <v>4794.9094545454536</v>
      </c>
      <c r="E44" s="12">
        <f>SUM(E39:E43)</f>
        <v>3014.7819999999997</v>
      </c>
    </row>
    <row r="45" spans="1:9" x14ac:dyDescent="0.25">
      <c r="A45" s="2" t="s">
        <v>56</v>
      </c>
      <c r="B45" s="2"/>
      <c r="C45" s="2"/>
      <c r="D45" s="8">
        <f>D44/12</f>
        <v>399.57578787878782</v>
      </c>
      <c r="E45" s="8">
        <f>E44/12</f>
        <v>251.2318333333333</v>
      </c>
    </row>
    <row r="46" spans="1:9" x14ac:dyDescent="0.25">
      <c r="A46" s="2" t="s">
        <v>57</v>
      </c>
      <c r="B46" s="2"/>
      <c r="C46" s="2"/>
      <c r="D46" s="3">
        <f>(D44/3)/12</f>
        <v>133.19192929292927</v>
      </c>
      <c r="E46" s="3">
        <f>(E44/3)/12</f>
        <v>83.743944444444438</v>
      </c>
    </row>
    <row r="47" spans="1:9" x14ac:dyDescent="0.25">
      <c r="A47" s="11" t="s">
        <v>58</v>
      </c>
      <c r="B47" s="11"/>
      <c r="C47" s="11"/>
      <c r="D47" s="30">
        <f>D46+D45+D44</f>
        <v>5327.6771717171705</v>
      </c>
      <c r="E47" s="30">
        <f>E46+E45+E44</f>
        <v>3349.7577777777774</v>
      </c>
      <c r="F47" s="9" t="s">
        <v>59</v>
      </c>
      <c r="G47" s="9"/>
      <c r="H47" s="9"/>
      <c r="I47" s="29">
        <f>D39+D45+D46+E39+E45+E46</f>
        <v>6929.3471313131304</v>
      </c>
    </row>
    <row r="49" spans="1:9" ht="30" x14ac:dyDescent="0.25">
      <c r="A49" s="17" t="s">
        <v>29</v>
      </c>
      <c r="B49" s="79" t="s">
        <v>30</v>
      </c>
      <c r="C49" s="80"/>
      <c r="D49" s="80"/>
      <c r="E49" s="80"/>
      <c r="F49" s="80"/>
      <c r="G49" s="81"/>
      <c r="H49" s="18" t="s">
        <v>31</v>
      </c>
      <c r="I49" s="18" t="s">
        <v>32</v>
      </c>
    </row>
    <row r="50" spans="1:9" x14ac:dyDescent="0.25">
      <c r="A50" s="19" t="s">
        <v>33</v>
      </c>
      <c r="B50" s="76" t="s">
        <v>34</v>
      </c>
      <c r="C50" s="77"/>
      <c r="D50" s="77"/>
      <c r="E50" s="77"/>
      <c r="F50" s="77"/>
      <c r="G50" s="78"/>
      <c r="H50" s="20">
        <v>0.2</v>
      </c>
      <c r="I50" s="21">
        <f>$I$47*H50</f>
        <v>1385.8694262626261</v>
      </c>
    </row>
    <row r="51" spans="1:9" x14ac:dyDescent="0.25">
      <c r="A51" s="19" t="s">
        <v>35</v>
      </c>
      <c r="B51" s="76" t="s">
        <v>36</v>
      </c>
      <c r="C51" s="77"/>
      <c r="D51" s="77"/>
      <c r="E51" s="77"/>
      <c r="F51" s="77"/>
      <c r="G51" s="78"/>
      <c r="H51" s="20">
        <v>1.4999999999999999E-2</v>
      </c>
      <c r="I51" s="21">
        <f t="shared" ref="I51:I57" si="1">$I$47*H51</f>
        <v>103.94020696969694</v>
      </c>
    </row>
    <row r="52" spans="1:9" x14ac:dyDescent="0.25">
      <c r="A52" s="19" t="s">
        <v>37</v>
      </c>
      <c r="B52" s="76" t="s">
        <v>38</v>
      </c>
      <c r="C52" s="77"/>
      <c r="D52" s="77"/>
      <c r="E52" s="77"/>
      <c r="F52" s="77"/>
      <c r="G52" s="78"/>
      <c r="H52" s="20">
        <v>0.01</v>
      </c>
      <c r="I52" s="21">
        <f t="shared" si="1"/>
        <v>69.293471313131306</v>
      </c>
    </row>
    <row r="53" spans="1:9" x14ac:dyDescent="0.25">
      <c r="A53" s="19" t="s">
        <v>39</v>
      </c>
      <c r="B53" s="76" t="s">
        <v>40</v>
      </c>
      <c r="C53" s="77"/>
      <c r="D53" s="77"/>
      <c r="E53" s="77"/>
      <c r="F53" s="77"/>
      <c r="G53" s="78"/>
      <c r="H53" s="20">
        <v>2E-3</v>
      </c>
      <c r="I53" s="21">
        <f t="shared" si="1"/>
        <v>13.858694262626262</v>
      </c>
    </row>
    <row r="54" spans="1:9" x14ac:dyDescent="0.25">
      <c r="A54" s="19" t="s">
        <v>41</v>
      </c>
      <c r="B54" s="87" t="s">
        <v>42</v>
      </c>
      <c r="C54" s="88"/>
      <c r="D54" s="88"/>
      <c r="E54" s="88"/>
      <c r="F54" s="88"/>
      <c r="G54" s="89"/>
      <c r="H54" s="20">
        <v>2.5000000000000001E-2</v>
      </c>
      <c r="I54" s="21">
        <f t="shared" si="1"/>
        <v>173.23367828282827</v>
      </c>
    </row>
    <row r="55" spans="1:9" x14ac:dyDescent="0.25">
      <c r="A55" s="19" t="s">
        <v>43</v>
      </c>
      <c r="B55" s="87" t="s">
        <v>44</v>
      </c>
      <c r="C55" s="88"/>
      <c r="D55" s="88"/>
      <c r="E55" s="88"/>
      <c r="F55" s="88"/>
      <c r="G55" s="89"/>
      <c r="H55" s="22">
        <v>0.08</v>
      </c>
      <c r="I55" s="21">
        <f t="shared" si="1"/>
        <v>554.34777050505045</v>
      </c>
    </row>
    <row r="56" spans="1:9" ht="25.5" x14ac:dyDescent="0.25">
      <c r="A56" s="19" t="s">
        <v>45</v>
      </c>
      <c r="B56" s="90" t="s">
        <v>46</v>
      </c>
      <c r="C56" s="91"/>
      <c r="D56" s="23" t="s">
        <v>47</v>
      </c>
      <c r="E56" s="24">
        <v>0.03</v>
      </c>
      <c r="F56" s="23" t="s">
        <v>48</v>
      </c>
      <c r="G56" s="25">
        <v>1</v>
      </c>
      <c r="H56" s="26">
        <f>ROUND((E56*G56),6)</f>
        <v>0.03</v>
      </c>
      <c r="I56" s="21">
        <f t="shared" si="1"/>
        <v>207.88041393939389</v>
      </c>
    </row>
    <row r="57" spans="1:9" x14ac:dyDescent="0.25">
      <c r="A57" s="19" t="s">
        <v>49</v>
      </c>
      <c r="B57" s="87" t="s">
        <v>50</v>
      </c>
      <c r="C57" s="88"/>
      <c r="D57" s="88"/>
      <c r="E57" s="88"/>
      <c r="F57" s="88"/>
      <c r="G57" s="89"/>
      <c r="H57" s="20">
        <v>6.0000000000000001E-3</v>
      </c>
      <c r="I57" s="21">
        <f t="shared" si="1"/>
        <v>41.576082787878782</v>
      </c>
    </row>
    <row r="58" spans="1:9" x14ac:dyDescent="0.25">
      <c r="A58" s="92" t="s">
        <v>51</v>
      </c>
      <c r="B58" s="93"/>
      <c r="C58" s="93"/>
      <c r="D58" s="93"/>
      <c r="E58" s="93"/>
      <c r="F58" s="93"/>
      <c r="G58" s="94"/>
      <c r="H58" s="27">
        <f>SUM(H50:H57)</f>
        <v>0.3680000000000001</v>
      </c>
      <c r="I58" s="28">
        <f>TRUNC(SUM(I50:I57),2)</f>
        <v>2549.9899999999998</v>
      </c>
    </row>
    <row r="60" spans="1:9" x14ac:dyDescent="0.25">
      <c r="A60" s="32" t="s">
        <v>63</v>
      </c>
      <c r="B60" s="2"/>
      <c r="C60" s="2"/>
      <c r="D60" s="2"/>
      <c r="E60" s="2"/>
      <c r="F60" s="2"/>
      <c r="G60" s="2"/>
      <c r="H60" s="2"/>
      <c r="I60" s="12">
        <f>D47+I58+E47</f>
        <v>11227.424949494947</v>
      </c>
    </row>
    <row r="61" spans="1:9" x14ac:dyDescent="0.25">
      <c r="A61" s="33" t="s">
        <v>61</v>
      </c>
      <c r="B61" s="2"/>
      <c r="C61" s="2"/>
      <c r="D61" s="2"/>
      <c r="E61" s="2"/>
      <c r="F61" s="2"/>
      <c r="G61" s="2"/>
      <c r="H61" s="10">
        <v>1</v>
      </c>
      <c r="I61" s="12">
        <f>I60*H61</f>
        <v>11227.424949494947</v>
      </c>
    </row>
    <row r="65" spans="1:1" x14ac:dyDescent="0.25">
      <c r="A65" s="34" t="s">
        <v>64</v>
      </c>
    </row>
    <row r="66" spans="1:1" x14ac:dyDescent="0.25">
      <c r="A66" s="35" t="s">
        <v>65</v>
      </c>
    </row>
    <row r="67" spans="1:1" x14ac:dyDescent="0.25">
      <c r="A67" s="35" t="s">
        <v>66</v>
      </c>
    </row>
    <row r="68" spans="1:1" x14ac:dyDescent="0.25">
      <c r="A68" s="35" t="s">
        <v>67</v>
      </c>
    </row>
    <row r="69" spans="1:1" x14ac:dyDescent="0.25">
      <c r="A69" s="35" t="s">
        <v>68</v>
      </c>
    </row>
    <row r="70" spans="1:1" x14ac:dyDescent="0.25">
      <c r="A70" s="35"/>
    </row>
    <row r="71" spans="1:1" x14ac:dyDescent="0.25">
      <c r="A71" s="35"/>
    </row>
    <row r="72" spans="1:1" x14ac:dyDescent="0.25">
      <c r="A72" s="35"/>
    </row>
    <row r="73" spans="1:1" x14ac:dyDescent="0.25">
      <c r="A73" s="36" t="s">
        <v>69</v>
      </c>
    </row>
    <row r="74" spans="1:1" x14ac:dyDescent="0.25">
      <c r="A74" s="37" t="s">
        <v>70</v>
      </c>
    </row>
    <row r="75" spans="1:1" x14ac:dyDescent="0.25">
      <c r="A75" s="37" t="s">
        <v>71</v>
      </c>
    </row>
    <row r="76" spans="1:1" x14ac:dyDescent="0.25">
      <c r="A76" s="37" t="s">
        <v>72</v>
      </c>
    </row>
    <row r="77" spans="1:1" x14ac:dyDescent="0.25">
      <c r="A77" s="37" t="s">
        <v>73</v>
      </c>
    </row>
    <row r="78" spans="1:1" x14ac:dyDescent="0.25">
      <c r="A78" s="37" t="s">
        <v>74</v>
      </c>
    </row>
    <row r="79" spans="1:1" x14ac:dyDescent="0.25">
      <c r="A79" s="37" t="s">
        <v>75</v>
      </c>
    </row>
    <row r="80" spans="1:1" x14ac:dyDescent="0.25">
      <c r="A80" s="38" t="s">
        <v>76</v>
      </c>
    </row>
    <row r="82" spans="1:1" x14ac:dyDescent="0.25">
      <c r="A82" s="42" t="s">
        <v>98</v>
      </c>
    </row>
    <row r="83" spans="1:1" x14ac:dyDescent="0.25">
      <c r="A83" s="37" t="s">
        <v>99</v>
      </c>
    </row>
    <row r="84" spans="1:1" x14ac:dyDescent="0.25">
      <c r="A84" s="37" t="s">
        <v>100</v>
      </c>
    </row>
    <row r="85" spans="1:1" x14ac:dyDescent="0.25">
      <c r="A85" s="37" t="s">
        <v>102</v>
      </c>
    </row>
    <row r="86" spans="1:1" x14ac:dyDescent="0.25">
      <c r="A86" s="37" t="s">
        <v>103</v>
      </c>
    </row>
    <row r="87" spans="1:1" x14ac:dyDescent="0.25">
      <c r="A87" s="37"/>
    </row>
    <row r="88" spans="1:1" x14ac:dyDescent="0.25">
      <c r="A88" s="37" t="s">
        <v>153</v>
      </c>
    </row>
    <row r="111" spans="1:6" x14ac:dyDescent="0.25">
      <c r="A111" t="s">
        <v>93</v>
      </c>
      <c r="B111" t="s">
        <v>115</v>
      </c>
      <c r="C111" s="53">
        <v>2017.5</v>
      </c>
      <c r="D111" t="s">
        <v>116</v>
      </c>
      <c r="E111" s="57">
        <f>C111*6</f>
        <v>12105</v>
      </c>
    </row>
    <row r="112" spans="1:6" x14ac:dyDescent="0.25">
      <c r="A112" s="95" t="s">
        <v>129</v>
      </c>
      <c r="B112" s="95"/>
      <c r="C112" s="95"/>
      <c r="D112" s="95"/>
      <c r="E112" s="95"/>
      <c r="F112" s="95"/>
    </row>
    <row r="127" spans="1:1" x14ac:dyDescent="0.25">
      <c r="A127" t="s">
        <v>94</v>
      </c>
    </row>
    <row r="128" spans="1:1" x14ac:dyDescent="0.25">
      <c r="A128" t="s">
        <v>95</v>
      </c>
    </row>
    <row r="147" spans="1:4" ht="141.75" customHeight="1" x14ac:dyDescent="0.25">
      <c r="A147" s="84" t="s">
        <v>118</v>
      </c>
      <c r="B147" s="85"/>
      <c r="C147" s="85"/>
      <c r="D147" s="86"/>
    </row>
    <row r="148" spans="1:4" x14ac:dyDescent="0.25">
      <c r="B148" s="47"/>
      <c r="C148" s="47"/>
      <c r="D148" s="49"/>
    </row>
    <row r="149" spans="1:4" x14ac:dyDescent="0.25">
      <c r="A149" s="48"/>
      <c r="B149" s="47"/>
      <c r="C149" s="47"/>
      <c r="D149" s="49"/>
    </row>
    <row r="150" spans="1:4" x14ac:dyDescent="0.25">
      <c r="A150" s="48"/>
      <c r="B150" s="47"/>
      <c r="C150" s="47"/>
      <c r="D150" s="49"/>
    </row>
    <row r="151" spans="1:4" x14ac:dyDescent="0.25">
      <c r="A151" s="50" t="s">
        <v>128</v>
      </c>
      <c r="B151" s="51"/>
      <c r="C151" s="51"/>
      <c r="D151" s="52"/>
    </row>
    <row r="166" spans="1:1" x14ac:dyDescent="0.25">
      <c r="A166" t="s">
        <v>106</v>
      </c>
    </row>
  </sheetData>
  <mergeCells count="17">
    <mergeCell ref="M21:Q21"/>
    <mergeCell ref="B52:G52"/>
    <mergeCell ref="A1:F1"/>
    <mergeCell ref="B49:G49"/>
    <mergeCell ref="B50:G50"/>
    <mergeCell ref="B51:G51"/>
    <mergeCell ref="E7:H7"/>
    <mergeCell ref="E14:H14"/>
    <mergeCell ref="A34:E34"/>
    <mergeCell ref="A112:F112"/>
    <mergeCell ref="A147:D147"/>
    <mergeCell ref="B53:G53"/>
    <mergeCell ref="B54:G54"/>
    <mergeCell ref="B55:G55"/>
    <mergeCell ref="B56:C56"/>
    <mergeCell ref="B57:G57"/>
    <mergeCell ref="A58:G58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71"/>
  <sheetViews>
    <sheetView workbookViewId="0">
      <selection activeCell="B15" sqref="B15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25.42578125" customWidth="1"/>
    <col min="8" max="8" width="9.85546875" customWidth="1"/>
    <col min="9" max="9" width="9.5703125" bestFit="1" customWidth="1"/>
    <col min="12" max="12" width="15.85546875" customWidth="1"/>
    <col min="13" max="13" width="16.28515625" customWidth="1"/>
    <col min="14" max="14" width="15.7109375" customWidth="1"/>
    <col min="15" max="15" width="14.85546875" customWidth="1"/>
    <col min="16" max="16" width="15.42578125" customWidth="1"/>
  </cols>
  <sheetData>
    <row r="1" spans="1:6" x14ac:dyDescent="0.25">
      <c r="A1" s="83" t="s">
        <v>7</v>
      </c>
      <c r="B1" s="83"/>
      <c r="C1" s="83"/>
      <c r="D1" s="83"/>
      <c r="E1" s="83"/>
      <c r="F1" s="83"/>
    </row>
    <row r="2" spans="1:6" x14ac:dyDescent="0.25">
      <c r="A2" s="62" t="s">
        <v>132</v>
      </c>
      <c r="B2" s="62"/>
      <c r="C2" s="62"/>
      <c r="D2" s="62"/>
      <c r="E2" s="62"/>
      <c r="F2" s="62"/>
    </row>
    <row r="3" spans="1:6" x14ac:dyDescent="0.25">
      <c r="A3" s="62"/>
      <c r="B3" s="39" t="s">
        <v>77</v>
      </c>
      <c r="C3" s="62"/>
      <c r="D3" s="62">
        <v>64.599999999999994</v>
      </c>
      <c r="E3" s="62"/>
      <c r="F3" s="62"/>
    </row>
    <row r="4" spans="1:6" x14ac:dyDescent="0.25">
      <c r="A4" s="62"/>
      <c r="B4" s="39" t="s">
        <v>78</v>
      </c>
      <c r="C4" s="62"/>
      <c r="D4" s="62">
        <v>24</v>
      </c>
      <c r="E4" s="62"/>
      <c r="F4" s="62"/>
    </row>
    <row r="5" spans="1:6" x14ac:dyDescent="0.25">
      <c r="A5" s="9" t="s">
        <v>148</v>
      </c>
      <c r="B5" t="s">
        <v>23</v>
      </c>
      <c r="D5">
        <f>D3*D4</f>
        <v>1550.3999999999999</v>
      </c>
    </row>
    <row r="6" spans="1:6" x14ac:dyDescent="0.25">
      <c r="B6" t="s">
        <v>110</v>
      </c>
      <c r="D6">
        <f>D5*10</f>
        <v>15503.999999999998</v>
      </c>
    </row>
    <row r="7" spans="1:6" ht="30" customHeight="1" x14ac:dyDescent="0.25">
      <c r="A7" s="62" t="s">
        <v>9</v>
      </c>
      <c r="B7" s="6">
        <v>153966</v>
      </c>
      <c r="C7" s="62"/>
      <c r="D7" s="62"/>
      <c r="E7" s="43" t="s">
        <v>104</v>
      </c>
      <c r="F7" s="62"/>
    </row>
    <row r="8" spans="1:6" x14ac:dyDescent="0.25">
      <c r="A8" s="62" t="s">
        <v>124</v>
      </c>
      <c r="B8" s="6">
        <f>B7*30%</f>
        <v>46189.799999999996</v>
      </c>
      <c r="C8" s="62"/>
      <c r="D8" s="62"/>
      <c r="E8" s="39" t="s">
        <v>91</v>
      </c>
      <c r="F8" s="62"/>
    </row>
    <row r="9" spans="1:6" x14ac:dyDescent="0.25">
      <c r="A9" s="62" t="s">
        <v>10</v>
      </c>
      <c r="B9" s="6">
        <f>B7-B8</f>
        <v>107776.20000000001</v>
      </c>
      <c r="C9" s="62"/>
      <c r="D9" s="62"/>
      <c r="E9" s="62"/>
      <c r="F9" s="62"/>
    </row>
    <row r="10" spans="1:6" x14ac:dyDescent="0.25">
      <c r="A10" s="62" t="s">
        <v>11</v>
      </c>
      <c r="B10" s="6">
        <v>60</v>
      </c>
      <c r="C10" s="6">
        <f>B9/B10</f>
        <v>1796.2700000000002</v>
      </c>
      <c r="D10" s="62"/>
      <c r="E10" s="39" t="s">
        <v>90</v>
      </c>
      <c r="F10" s="62"/>
    </row>
    <row r="11" spans="1:6" x14ac:dyDescent="0.25">
      <c r="A11" s="62" t="s">
        <v>13</v>
      </c>
      <c r="B11" s="14">
        <v>0.15</v>
      </c>
      <c r="C11" s="7">
        <f>B7*B11/12</f>
        <v>1924.5749999999998</v>
      </c>
      <c r="D11" s="62"/>
      <c r="E11" s="39" t="s">
        <v>105</v>
      </c>
      <c r="F11" s="62"/>
    </row>
    <row r="13" spans="1:6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6" x14ac:dyDescent="0.25">
      <c r="A14" s="2" t="s">
        <v>2</v>
      </c>
      <c r="B14" s="2">
        <v>7.29</v>
      </c>
      <c r="C14" s="2">
        <v>7</v>
      </c>
      <c r="D14" s="3">
        <f t="shared" ref="D14:D23" si="0">B14/C14</f>
        <v>1.0414285714285714</v>
      </c>
      <c r="E14" s="61" t="s">
        <v>84</v>
      </c>
    </row>
    <row r="15" spans="1:6" x14ac:dyDescent="0.25">
      <c r="A15" s="2" t="s">
        <v>6</v>
      </c>
      <c r="B15" s="3">
        <v>500</v>
      </c>
      <c r="C15" s="2">
        <f>D5</f>
        <v>1550.3999999999999</v>
      </c>
      <c r="D15" s="3">
        <f t="shared" si="0"/>
        <v>0.32249742002063986</v>
      </c>
      <c r="E15" s="61" t="s">
        <v>96</v>
      </c>
    </row>
    <row r="16" spans="1:6" x14ac:dyDescent="0.25">
      <c r="A16" s="2" t="s">
        <v>20</v>
      </c>
      <c r="B16" s="3"/>
      <c r="C16" s="2">
        <f>C15*12</f>
        <v>18604.8</v>
      </c>
      <c r="D16" s="3">
        <f t="shared" si="0"/>
        <v>0</v>
      </c>
    </row>
    <row r="17" spans="1:16" x14ac:dyDescent="0.25">
      <c r="A17" s="2" t="s">
        <v>3</v>
      </c>
      <c r="B17" s="3">
        <v>700</v>
      </c>
      <c r="C17" s="2">
        <f>C15</f>
        <v>1550.3999999999999</v>
      </c>
      <c r="D17" s="3">
        <f t="shared" si="0"/>
        <v>0.4514963880288958</v>
      </c>
      <c r="E17" t="s">
        <v>85</v>
      </c>
    </row>
    <row r="18" spans="1:16" x14ac:dyDescent="0.25">
      <c r="A18" s="2" t="s">
        <v>28</v>
      </c>
      <c r="B18" s="3">
        <v>3511.88</v>
      </c>
      <c r="C18" s="2">
        <v>40000</v>
      </c>
      <c r="D18" s="3">
        <f t="shared" si="0"/>
        <v>8.7797E-2</v>
      </c>
      <c r="E18" t="s">
        <v>92</v>
      </c>
    </row>
    <row r="19" spans="1:16" x14ac:dyDescent="0.25">
      <c r="A19" s="2" t="s">
        <v>109</v>
      </c>
      <c r="B19" s="3">
        <v>63.4</v>
      </c>
      <c r="C19" s="2">
        <f>C20</f>
        <v>1550.3999999999999</v>
      </c>
      <c r="D19" s="3">
        <f>B19/C19</f>
        <v>4.0892672858617134E-2</v>
      </c>
      <c r="E19" t="s">
        <v>108</v>
      </c>
    </row>
    <row r="20" spans="1:16" x14ac:dyDescent="0.25">
      <c r="A20" s="2" t="s">
        <v>26</v>
      </c>
      <c r="B20" s="3">
        <v>250</v>
      </c>
      <c r="C20" s="2">
        <f>C17</f>
        <v>1550.3999999999999</v>
      </c>
      <c r="D20" s="3">
        <f t="shared" si="0"/>
        <v>0.16124871001031993</v>
      </c>
      <c r="E20" t="s">
        <v>97</v>
      </c>
      <c r="L20" s="99" t="s">
        <v>156</v>
      </c>
      <c r="M20" s="100"/>
      <c r="N20" s="100"/>
      <c r="O20" s="100"/>
      <c r="P20" s="101"/>
    </row>
    <row r="21" spans="1:16" x14ac:dyDescent="0.25">
      <c r="A21" s="2" t="s">
        <v>4</v>
      </c>
      <c r="B21" s="3">
        <f>I61</f>
        <v>9122.6464646464647</v>
      </c>
      <c r="C21" s="2">
        <f>C17</f>
        <v>1550.3999999999999</v>
      </c>
      <c r="D21" s="3">
        <f t="shared" si="0"/>
        <v>5.8840598972177922</v>
      </c>
      <c r="E21" t="s">
        <v>86</v>
      </c>
      <c r="L21" s="102" t="s">
        <v>157</v>
      </c>
      <c r="M21" s="102" t="s">
        <v>160</v>
      </c>
      <c r="N21" s="102" t="s">
        <v>161</v>
      </c>
      <c r="O21" s="102" t="s">
        <v>158</v>
      </c>
      <c r="P21" s="102" t="s">
        <v>159</v>
      </c>
    </row>
    <row r="22" spans="1:16" x14ac:dyDescent="0.25">
      <c r="A22" s="2" t="s">
        <v>12</v>
      </c>
      <c r="B22" s="3">
        <f>C10</f>
        <v>1796.2700000000002</v>
      </c>
      <c r="C22" s="2">
        <f>C21</f>
        <v>1550.3999999999999</v>
      </c>
      <c r="D22" s="3">
        <f t="shared" si="0"/>
        <v>1.1585848813209496</v>
      </c>
      <c r="E22" t="s">
        <v>89</v>
      </c>
      <c r="L22" s="103">
        <f>D31</f>
        <v>13.296285631705505</v>
      </c>
      <c r="M22" s="104">
        <f>D3</f>
        <v>64.599999999999994</v>
      </c>
      <c r="N22" s="103">
        <f>L22*M22</f>
        <v>858.94005180817555</v>
      </c>
      <c r="O22" s="2">
        <v>200</v>
      </c>
      <c r="P22" s="103">
        <f>N22*O22</f>
        <v>171788.0103616351</v>
      </c>
    </row>
    <row r="23" spans="1:16" x14ac:dyDescent="0.25">
      <c r="A23" s="2" t="s">
        <v>14</v>
      </c>
      <c r="B23" s="8">
        <f>C11</f>
        <v>1924.5749999999998</v>
      </c>
      <c r="C23" s="2">
        <f>C22</f>
        <v>1550.3999999999999</v>
      </c>
      <c r="D23" s="3">
        <f t="shared" si="0"/>
        <v>1.2413409442724459</v>
      </c>
      <c r="E23" t="s">
        <v>89</v>
      </c>
    </row>
    <row r="24" spans="1:16" x14ac:dyDescent="0.25">
      <c r="A24" s="4" t="s">
        <v>24</v>
      </c>
      <c r="B24" s="4"/>
      <c r="C24" s="4" t="s">
        <v>5</v>
      </c>
      <c r="D24" s="5">
        <f>SUM(D14:D23)</f>
        <v>10.389346485158232</v>
      </c>
    </row>
    <row r="26" spans="1:16" x14ac:dyDescent="0.25">
      <c r="A26" s="2" t="s">
        <v>17</v>
      </c>
      <c r="B26" s="2"/>
      <c r="C26" s="10">
        <v>0.1</v>
      </c>
      <c r="D26" s="8">
        <f>D24*C26</f>
        <v>1.0389346485158233</v>
      </c>
      <c r="E26" t="s">
        <v>88</v>
      </c>
    </row>
    <row r="27" spans="1:16" x14ac:dyDescent="0.25">
      <c r="A27" s="2" t="s">
        <v>18</v>
      </c>
      <c r="B27" s="2"/>
      <c r="C27" s="10">
        <v>0.1</v>
      </c>
      <c r="D27" s="8">
        <f>D24*C27</f>
        <v>1.0389346485158233</v>
      </c>
      <c r="E27" t="s">
        <v>88</v>
      </c>
    </row>
    <row r="28" spans="1:16" x14ac:dyDescent="0.25">
      <c r="A28" s="11" t="s">
        <v>15</v>
      </c>
      <c r="B28" s="11"/>
      <c r="C28" s="11"/>
      <c r="D28" s="12">
        <f>D27+D26+D24</f>
        <v>12.467215782189879</v>
      </c>
    </row>
    <row r="29" spans="1:16" x14ac:dyDescent="0.25">
      <c r="A29" s="2" t="s">
        <v>16</v>
      </c>
      <c r="B29" s="2"/>
      <c r="C29" s="13">
        <v>6.6500000000000004E-2</v>
      </c>
      <c r="D29" s="8">
        <f>D28*C29</f>
        <v>0.82906984951562701</v>
      </c>
      <c r="E29" t="s">
        <v>87</v>
      </c>
    </row>
    <row r="30" spans="1:16" x14ac:dyDescent="0.25">
      <c r="A30" s="2" t="s">
        <v>19</v>
      </c>
      <c r="B30" s="2"/>
      <c r="C30" s="10"/>
      <c r="D30" s="8"/>
    </row>
    <row r="31" spans="1:16" x14ac:dyDescent="0.25">
      <c r="A31" s="11" t="s">
        <v>25</v>
      </c>
      <c r="B31" s="11"/>
      <c r="C31" s="11"/>
      <c r="D31" s="12">
        <f>D28+D29</f>
        <v>13.296285631705505</v>
      </c>
    </row>
    <row r="32" spans="1:16" x14ac:dyDescent="0.25">
      <c r="A32" s="15" t="s">
        <v>27</v>
      </c>
      <c r="B32" s="2"/>
      <c r="C32" s="2">
        <f>D5</f>
        <v>1550.3999999999999</v>
      </c>
      <c r="D32" s="8">
        <f>D31*C32</f>
        <v>20614.561243396212</v>
      </c>
    </row>
    <row r="34" spans="1:9" ht="50.25" customHeight="1" x14ac:dyDescent="0.25">
      <c r="A34" s="82" t="s">
        <v>152</v>
      </c>
      <c r="B34" s="82"/>
      <c r="C34" s="82"/>
      <c r="D34" s="82"/>
      <c r="E34" s="82"/>
    </row>
    <row r="35" spans="1:9" x14ac:dyDescent="0.25">
      <c r="A35" s="9" t="s">
        <v>62</v>
      </c>
      <c r="C35" s="71" t="s">
        <v>154</v>
      </c>
      <c r="D35" s="16"/>
      <c r="E35" s="71" t="s">
        <v>155</v>
      </c>
    </row>
    <row r="36" spans="1:9" x14ac:dyDescent="0.25">
      <c r="A36" s="11" t="s">
        <v>79</v>
      </c>
      <c r="B36" s="2"/>
      <c r="C36" s="3">
        <v>2448.1</v>
      </c>
      <c r="D36" s="8">
        <v>220</v>
      </c>
      <c r="E36" s="2">
        <v>1789.04</v>
      </c>
    </row>
    <row r="37" spans="1:9" x14ac:dyDescent="0.25">
      <c r="A37" s="2" t="s">
        <v>80</v>
      </c>
      <c r="B37" s="2"/>
      <c r="C37" s="3">
        <f>C36/D36*200</f>
        <v>2225.5454545454545</v>
      </c>
      <c r="D37" s="8"/>
      <c r="E37" s="69">
        <f>E36/D36*200</f>
        <v>1626.3999999999999</v>
      </c>
    </row>
    <row r="38" spans="1:9" x14ac:dyDescent="0.25">
      <c r="A38" s="2" t="s">
        <v>52</v>
      </c>
      <c r="B38" s="10">
        <v>0.2</v>
      </c>
      <c r="C38" s="8">
        <f>C37*B38</f>
        <v>445.10909090909092</v>
      </c>
      <c r="D38" s="2"/>
      <c r="E38" s="69">
        <f>E37*B38</f>
        <v>325.27999999999997</v>
      </c>
    </row>
    <row r="39" spans="1:9" x14ac:dyDescent="0.25">
      <c r="A39" s="31" t="s">
        <v>60</v>
      </c>
      <c r="B39" s="10"/>
      <c r="C39" s="8"/>
      <c r="D39" s="12">
        <f>C38+C37</f>
        <v>2670.6545454545453</v>
      </c>
      <c r="E39" s="70">
        <f>SUM(E37:E38)</f>
        <v>1951.6799999999998</v>
      </c>
    </row>
    <row r="40" spans="1:9" x14ac:dyDescent="0.25">
      <c r="A40" s="2" t="s">
        <v>53</v>
      </c>
      <c r="B40" s="2">
        <v>20</v>
      </c>
      <c r="C40" s="3">
        <v>9.4</v>
      </c>
      <c r="D40" s="3">
        <f>C40*B40</f>
        <v>188</v>
      </c>
      <c r="E40" s="8">
        <f>D40</f>
        <v>188</v>
      </c>
    </row>
    <row r="41" spans="1:9" x14ac:dyDescent="0.25">
      <c r="A41" s="2" t="s">
        <v>54</v>
      </c>
      <c r="B41" s="2">
        <v>1</v>
      </c>
      <c r="C41" s="3">
        <v>740</v>
      </c>
      <c r="D41" s="3">
        <f>B41*C41</f>
        <v>740</v>
      </c>
      <c r="E41" s="8">
        <f>D41</f>
        <v>740</v>
      </c>
    </row>
    <row r="42" spans="1:9" x14ac:dyDescent="0.25">
      <c r="A42" s="2" t="s">
        <v>81</v>
      </c>
      <c r="B42" s="2"/>
      <c r="C42" s="63">
        <v>5.0700000000000002E-2</v>
      </c>
      <c r="D42" s="3">
        <f>-D41*C42</f>
        <v>-37.518000000000001</v>
      </c>
      <c r="E42" s="69">
        <f>E41*C42</f>
        <v>37.518000000000001</v>
      </c>
    </row>
    <row r="43" spans="1:9" x14ac:dyDescent="0.25">
      <c r="A43" s="2" t="s">
        <v>82</v>
      </c>
      <c r="B43" s="2"/>
      <c r="C43" s="63">
        <v>0.06</v>
      </c>
      <c r="D43" s="3">
        <f>-C37*C43</f>
        <v>-133.53272727272727</v>
      </c>
      <c r="E43" s="8">
        <f>E37*C43</f>
        <v>97.583999999999989</v>
      </c>
    </row>
    <row r="44" spans="1:9" x14ac:dyDescent="0.25">
      <c r="A44" s="11" t="s">
        <v>55</v>
      </c>
      <c r="B44" s="11"/>
      <c r="C44" s="11"/>
      <c r="D44" s="12">
        <f>SUM(D39:D43)</f>
        <v>3427.603818181818</v>
      </c>
      <c r="E44" s="12">
        <f>SUM(E39:E43)</f>
        <v>3014.7819999999997</v>
      </c>
    </row>
    <row r="45" spans="1:9" x14ac:dyDescent="0.25">
      <c r="A45" s="2" t="s">
        <v>56</v>
      </c>
      <c r="B45" s="2"/>
      <c r="C45" s="2"/>
      <c r="D45" s="8">
        <f>D44/12</f>
        <v>285.63365151515148</v>
      </c>
      <c r="E45" s="8">
        <f>E44/12</f>
        <v>251.2318333333333</v>
      </c>
    </row>
    <row r="46" spans="1:9" x14ac:dyDescent="0.25">
      <c r="A46" s="2" t="s">
        <v>57</v>
      </c>
      <c r="B46" s="2"/>
      <c r="C46" s="2"/>
      <c r="D46" s="3">
        <f>(D44/3)/12</f>
        <v>95.211217171717166</v>
      </c>
      <c r="E46" s="3">
        <f>(E44/3)/12</f>
        <v>83.743944444444438</v>
      </c>
    </row>
    <row r="47" spans="1:9" x14ac:dyDescent="0.25">
      <c r="A47" s="11" t="s">
        <v>58</v>
      </c>
      <c r="B47" s="11"/>
      <c r="C47" s="11"/>
      <c r="D47" s="30">
        <f>D46+D45+D44</f>
        <v>3808.4486868686868</v>
      </c>
      <c r="E47" s="30">
        <f>E46+E45+E44</f>
        <v>3349.7577777777774</v>
      </c>
      <c r="F47" s="9" t="s">
        <v>59</v>
      </c>
      <c r="G47" s="9"/>
      <c r="H47" s="9"/>
      <c r="I47" s="29">
        <f>D39+D45+D46+E39+E45+E46</f>
        <v>5338.1551919191916</v>
      </c>
    </row>
    <row r="49" spans="1:9" ht="30" x14ac:dyDescent="0.25">
      <c r="A49" s="17" t="s">
        <v>29</v>
      </c>
      <c r="B49" s="79" t="s">
        <v>30</v>
      </c>
      <c r="C49" s="80"/>
      <c r="D49" s="80"/>
      <c r="E49" s="80"/>
      <c r="F49" s="80"/>
      <c r="G49" s="81"/>
      <c r="H49" s="18" t="s">
        <v>31</v>
      </c>
      <c r="I49" s="18" t="s">
        <v>32</v>
      </c>
    </row>
    <row r="50" spans="1:9" x14ac:dyDescent="0.25">
      <c r="A50" s="19" t="s">
        <v>33</v>
      </c>
      <c r="B50" s="76" t="s">
        <v>34</v>
      </c>
      <c r="C50" s="77"/>
      <c r="D50" s="77"/>
      <c r="E50" s="77"/>
      <c r="F50" s="77"/>
      <c r="G50" s="78"/>
      <c r="H50" s="20">
        <v>0.2</v>
      </c>
      <c r="I50" s="21">
        <f>$I$47*H50</f>
        <v>1067.6310383838384</v>
      </c>
    </row>
    <row r="51" spans="1:9" x14ac:dyDescent="0.25">
      <c r="A51" s="19" t="s">
        <v>35</v>
      </c>
      <c r="B51" s="76" t="s">
        <v>36</v>
      </c>
      <c r="C51" s="77"/>
      <c r="D51" s="77"/>
      <c r="E51" s="77"/>
      <c r="F51" s="77"/>
      <c r="G51" s="78"/>
      <c r="H51" s="20">
        <v>1.4999999999999999E-2</v>
      </c>
      <c r="I51" s="21">
        <f t="shared" ref="I51:I57" si="1">$I$47*H51</f>
        <v>80.072327878787874</v>
      </c>
    </row>
    <row r="52" spans="1:9" x14ac:dyDescent="0.25">
      <c r="A52" s="19" t="s">
        <v>37</v>
      </c>
      <c r="B52" s="76" t="s">
        <v>38</v>
      </c>
      <c r="C52" s="77"/>
      <c r="D52" s="77"/>
      <c r="E52" s="77"/>
      <c r="F52" s="77"/>
      <c r="G52" s="78"/>
      <c r="H52" s="20">
        <v>0.01</v>
      </c>
      <c r="I52" s="21">
        <f t="shared" si="1"/>
        <v>53.381551919191914</v>
      </c>
    </row>
    <row r="53" spans="1:9" x14ac:dyDescent="0.25">
      <c r="A53" s="19" t="s">
        <v>39</v>
      </c>
      <c r="B53" s="76" t="s">
        <v>40</v>
      </c>
      <c r="C53" s="77"/>
      <c r="D53" s="77"/>
      <c r="E53" s="77"/>
      <c r="F53" s="77"/>
      <c r="G53" s="78"/>
      <c r="H53" s="20">
        <v>2E-3</v>
      </c>
      <c r="I53" s="21">
        <f t="shared" si="1"/>
        <v>10.676310383838384</v>
      </c>
    </row>
    <row r="54" spans="1:9" x14ac:dyDescent="0.25">
      <c r="A54" s="19" t="s">
        <v>41</v>
      </c>
      <c r="B54" s="87" t="s">
        <v>42</v>
      </c>
      <c r="C54" s="88"/>
      <c r="D54" s="88"/>
      <c r="E54" s="88"/>
      <c r="F54" s="88"/>
      <c r="G54" s="89"/>
      <c r="H54" s="20">
        <v>2.5000000000000001E-2</v>
      </c>
      <c r="I54" s="21">
        <f t="shared" si="1"/>
        <v>133.45387979797979</v>
      </c>
    </row>
    <row r="55" spans="1:9" x14ac:dyDescent="0.25">
      <c r="A55" s="19" t="s">
        <v>43</v>
      </c>
      <c r="B55" s="87" t="s">
        <v>44</v>
      </c>
      <c r="C55" s="88"/>
      <c r="D55" s="88"/>
      <c r="E55" s="88"/>
      <c r="F55" s="88"/>
      <c r="G55" s="89"/>
      <c r="H55" s="22">
        <v>0.08</v>
      </c>
      <c r="I55" s="21">
        <f t="shared" si="1"/>
        <v>427.05241535353531</v>
      </c>
    </row>
    <row r="56" spans="1:9" x14ac:dyDescent="0.25">
      <c r="A56" s="19" t="s">
        <v>45</v>
      </c>
      <c r="B56" s="90" t="s">
        <v>46</v>
      </c>
      <c r="C56" s="91"/>
      <c r="D56" s="23" t="s">
        <v>47</v>
      </c>
      <c r="E56" s="24">
        <v>0.03</v>
      </c>
      <c r="F56" s="23" t="s">
        <v>48</v>
      </c>
      <c r="G56" s="25">
        <v>1</v>
      </c>
      <c r="H56" s="26">
        <f>ROUND((E56*G56),6)</f>
        <v>0.03</v>
      </c>
      <c r="I56" s="21">
        <f t="shared" si="1"/>
        <v>160.14465575757575</v>
      </c>
    </row>
    <row r="57" spans="1:9" x14ac:dyDescent="0.25">
      <c r="A57" s="19" t="s">
        <v>49</v>
      </c>
      <c r="B57" s="87" t="s">
        <v>50</v>
      </c>
      <c r="C57" s="88"/>
      <c r="D57" s="88"/>
      <c r="E57" s="88"/>
      <c r="F57" s="88"/>
      <c r="G57" s="89"/>
      <c r="H57" s="20">
        <v>6.0000000000000001E-3</v>
      </c>
      <c r="I57" s="21">
        <f t="shared" si="1"/>
        <v>32.028931151515152</v>
      </c>
    </row>
    <row r="58" spans="1:9" x14ac:dyDescent="0.25">
      <c r="A58" s="92" t="s">
        <v>51</v>
      </c>
      <c r="B58" s="93"/>
      <c r="C58" s="93"/>
      <c r="D58" s="93"/>
      <c r="E58" s="93"/>
      <c r="F58" s="93"/>
      <c r="G58" s="94"/>
      <c r="H58" s="27">
        <f>SUM(H50:H57)</f>
        <v>0.3680000000000001</v>
      </c>
      <c r="I58" s="28">
        <f>TRUNC(SUM(I50:I57),2)</f>
        <v>1964.44</v>
      </c>
    </row>
    <row r="60" spans="1:9" x14ac:dyDescent="0.25">
      <c r="A60" s="32" t="s">
        <v>63</v>
      </c>
      <c r="B60" s="2"/>
      <c r="C60" s="2"/>
      <c r="D60" s="2"/>
      <c r="E60" s="2"/>
      <c r="F60" s="2"/>
      <c r="G60" s="2"/>
      <c r="H60" s="2"/>
      <c r="I60" s="12">
        <f>D47+I58+E47</f>
        <v>9122.6464646464647</v>
      </c>
    </row>
    <row r="61" spans="1:9" x14ac:dyDescent="0.25">
      <c r="A61" s="33" t="s">
        <v>61</v>
      </c>
      <c r="B61" s="2"/>
      <c r="C61" s="2"/>
      <c r="D61" s="2"/>
      <c r="E61" s="2"/>
      <c r="F61" s="2"/>
      <c r="G61" s="2"/>
      <c r="H61" s="10">
        <v>1</v>
      </c>
      <c r="I61" s="12">
        <f>I60*H61</f>
        <v>9122.6464646464647</v>
      </c>
    </row>
    <row r="65" spans="1:1" x14ac:dyDescent="0.25">
      <c r="A65" s="34" t="s">
        <v>64</v>
      </c>
    </row>
    <row r="66" spans="1:1" x14ac:dyDescent="0.25">
      <c r="A66" s="35" t="s">
        <v>65</v>
      </c>
    </row>
    <row r="67" spans="1:1" x14ac:dyDescent="0.25">
      <c r="A67" s="35" t="s">
        <v>66</v>
      </c>
    </row>
    <row r="68" spans="1:1" x14ac:dyDescent="0.25">
      <c r="A68" s="35" t="s">
        <v>67</v>
      </c>
    </row>
    <row r="69" spans="1:1" x14ac:dyDescent="0.25">
      <c r="A69" s="35" t="s">
        <v>68</v>
      </c>
    </row>
    <row r="70" spans="1:1" x14ac:dyDescent="0.25">
      <c r="A70" s="35"/>
    </row>
    <row r="71" spans="1:1" x14ac:dyDescent="0.25">
      <c r="A71" s="35"/>
    </row>
    <row r="72" spans="1:1" x14ac:dyDescent="0.25">
      <c r="A72" s="35"/>
    </row>
    <row r="73" spans="1:1" x14ac:dyDescent="0.25">
      <c r="A73" s="36" t="s">
        <v>69</v>
      </c>
    </row>
    <row r="74" spans="1:1" x14ac:dyDescent="0.25">
      <c r="A74" s="37" t="s">
        <v>70</v>
      </c>
    </row>
    <row r="75" spans="1:1" x14ac:dyDescent="0.25">
      <c r="A75" s="37" t="s">
        <v>71</v>
      </c>
    </row>
    <row r="76" spans="1:1" x14ac:dyDescent="0.25">
      <c r="A76" s="37" t="s">
        <v>72</v>
      </c>
    </row>
    <row r="77" spans="1:1" x14ac:dyDescent="0.25">
      <c r="A77" s="37" t="s">
        <v>73</v>
      </c>
    </row>
    <row r="78" spans="1:1" x14ac:dyDescent="0.25">
      <c r="A78" s="37" t="s">
        <v>74</v>
      </c>
    </row>
    <row r="79" spans="1:1" x14ac:dyDescent="0.25">
      <c r="A79" s="37" t="s">
        <v>75</v>
      </c>
    </row>
    <row r="80" spans="1:1" x14ac:dyDescent="0.25">
      <c r="A80" s="38" t="s">
        <v>76</v>
      </c>
    </row>
    <row r="83" spans="1:1" x14ac:dyDescent="0.25">
      <c r="A83" s="42" t="s">
        <v>98</v>
      </c>
    </row>
    <row r="84" spans="1:1" x14ac:dyDescent="0.25">
      <c r="A84" s="37" t="s">
        <v>99</v>
      </c>
    </row>
    <row r="85" spans="1:1" x14ac:dyDescent="0.25">
      <c r="A85" s="37" t="s">
        <v>100</v>
      </c>
    </row>
    <row r="86" spans="1:1" x14ac:dyDescent="0.25">
      <c r="A86" s="37" t="s">
        <v>101</v>
      </c>
    </row>
    <row r="87" spans="1:1" x14ac:dyDescent="0.25">
      <c r="A87" s="37" t="s">
        <v>102</v>
      </c>
    </row>
    <row r="88" spans="1:1" x14ac:dyDescent="0.25">
      <c r="A88" s="37" t="s">
        <v>103</v>
      </c>
    </row>
    <row r="89" spans="1:1" x14ac:dyDescent="0.25">
      <c r="A89" s="37"/>
    </row>
    <row r="90" spans="1:1" x14ac:dyDescent="0.25">
      <c r="A90" s="37" t="s">
        <v>153</v>
      </c>
    </row>
    <row r="113" spans="1:5" x14ac:dyDescent="0.25">
      <c r="A113" t="s">
        <v>93</v>
      </c>
      <c r="B113" t="s">
        <v>133</v>
      </c>
      <c r="E113">
        <f>877.97*4</f>
        <v>3511.88</v>
      </c>
    </row>
    <row r="129" spans="1:1" x14ac:dyDescent="0.25">
      <c r="A129" t="s">
        <v>94</v>
      </c>
    </row>
    <row r="130" spans="1:1" x14ac:dyDescent="0.25">
      <c r="A130" t="s">
        <v>95</v>
      </c>
    </row>
    <row r="148" spans="1:4" ht="78" customHeight="1" x14ac:dyDescent="0.25">
      <c r="A148" s="84" t="s">
        <v>113</v>
      </c>
      <c r="B148" s="85"/>
      <c r="C148" s="85"/>
      <c r="D148" s="86"/>
    </row>
    <row r="149" spans="1:4" x14ac:dyDescent="0.25">
      <c r="A149" s="46"/>
      <c r="B149" s="47"/>
      <c r="C149" s="47"/>
      <c r="D149" s="49"/>
    </row>
    <row r="150" spans="1:4" x14ac:dyDescent="0.25">
      <c r="A150" s="46"/>
      <c r="B150" s="47"/>
      <c r="C150" s="47"/>
      <c r="D150" s="49"/>
    </row>
    <row r="151" spans="1:4" x14ac:dyDescent="0.25">
      <c r="A151" s="46"/>
      <c r="B151" s="47"/>
      <c r="C151" s="47"/>
      <c r="D151" s="49"/>
    </row>
    <row r="152" spans="1:4" x14ac:dyDescent="0.25">
      <c r="A152" s="50" t="s">
        <v>140</v>
      </c>
      <c r="B152" s="51"/>
      <c r="C152" s="51"/>
      <c r="D152" s="52"/>
    </row>
    <row r="171" spans="1:1" x14ac:dyDescent="0.25">
      <c r="A171" t="s">
        <v>106</v>
      </c>
    </row>
  </sheetData>
  <mergeCells count="14">
    <mergeCell ref="L20:P20"/>
    <mergeCell ref="B52:G52"/>
    <mergeCell ref="A34:E34"/>
    <mergeCell ref="A1:F1"/>
    <mergeCell ref="B49:G49"/>
    <mergeCell ref="B50:G50"/>
    <mergeCell ref="B51:G51"/>
    <mergeCell ref="A148:D148"/>
    <mergeCell ref="B53:G53"/>
    <mergeCell ref="B54:G54"/>
    <mergeCell ref="B55:G55"/>
    <mergeCell ref="B56:C56"/>
    <mergeCell ref="B57:G57"/>
    <mergeCell ref="A58:G58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57"/>
  <sheetViews>
    <sheetView workbookViewId="0">
      <selection activeCell="B15" sqref="B15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25.42578125" customWidth="1"/>
    <col min="8" max="8" width="9.85546875" customWidth="1"/>
    <col min="9" max="9" width="9.5703125" bestFit="1" customWidth="1"/>
    <col min="12" max="12" width="16.7109375" customWidth="1"/>
    <col min="13" max="13" width="16.28515625" customWidth="1"/>
    <col min="14" max="14" width="15.7109375" customWidth="1"/>
    <col min="15" max="15" width="15.140625" customWidth="1"/>
    <col min="16" max="16" width="14.5703125" customWidth="1"/>
  </cols>
  <sheetData>
    <row r="1" spans="1:8" x14ac:dyDescent="0.25">
      <c r="A1" s="83" t="s">
        <v>7</v>
      </c>
      <c r="B1" s="83"/>
      <c r="C1" s="83"/>
      <c r="D1" s="83"/>
      <c r="E1" s="83"/>
      <c r="F1" s="83"/>
    </row>
    <row r="2" spans="1:8" x14ac:dyDescent="0.25">
      <c r="A2" s="55" t="s">
        <v>139</v>
      </c>
      <c r="B2" s="55"/>
      <c r="C2" s="55"/>
      <c r="D2" s="55"/>
      <c r="E2" s="55"/>
      <c r="F2" s="55"/>
    </row>
    <row r="3" spans="1:8" x14ac:dyDescent="0.25">
      <c r="A3" s="55"/>
      <c r="B3" s="39" t="s">
        <v>77</v>
      </c>
      <c r="C3" s="55"/>
      <c r="D3" s="55">
        <v>100.8</v>
      </c>
      <c r="E3" s="55"/>
      <c r="F3" s="55"/>
    </row>
    <row r="4" spans="1:8" x14ac:dyDescent="0.25">
      <c r="A4" s="55"/>
      <c r="B4" s="39" t="s">
        <v>78</v>
      </c>
      <c r="C4" s="55"/>
      <c r="D4" s="55">
        <v>24</v>
      </c>
      <c r="E4" s="55"/>
      <c r="F4" s="55"/>
    </row>
    <row r="5" spans="1:8" x14ac:dyDescent="0.25">
      <c r="A5" s="9" t="s">
        <v>119</v>
      </c>
      <c r="B5" t="s">
        <v>23</v>
      </c>
      <c r="D5">
        <f>D3*D4</f>
        <v>2419.1999999999998</v>
      </c>
    </row>
    <row r="6" spans="1:8" x14ac:dyDescent="0.25">
      <c r="B6" t="s">
        <v>110</v>
      </c>
      <c r="D6">
        <f>D5*10</f>
        <v>24192</v>
      </c>
    </row>
    <row r="7" spans="1:8" ht="57" customHeight="1" x14ac:dyDescent="0.25">
      <c r="A7" s="55" t="s">
        <v>9</v>
      </c>
      <c r="B7" s="6">
        <v>222663</v>
      </c>
      <c r="C7" s="55"/>
      <c r="D7" s="55"/>
      <c r="E7" s="96" t="s">
        <v>104</v>
      </c>
      <c r="F7" s="96"/>
      <c r="G7" s="96"/>
    </row>
    <row r="8" spans="1:8" x14ac:dyDescent="0.25">
      <c r="A8" s="55" t="s">
        <v>124</v>
      </c>
      <c r="B8" s="6">
        <f>B7*30%</f>
        <v>66798.899999999994</v>
      </c>
      <c r="C8" s="55"/>
      <c r="D8" s="55"/>
      <c r="E8" s="39" t="s">
        <v>91</v>
      </c>
      <c r="F8" s="55"/>
    </row>
    <row r="9" spans="1:8" x14ac:dyDescent="0.25">
      <c r="A9" s="55" t="s">
        <v>10</v>
      </c>
      <c r="B9" s="6">
        <f>B7-B8</f>
        <v>155864.1</v>
      </c>
      <c r="C9" s="55"/>
      <c r="D9" s="55"/>
      <c r="E9" s="55"/>
      <c r="F9" s="55"/>
    </row>
    <row r="10" spans="1:8" x14ac:dyDescent="0.25">
      <c r="A10" s="55" t="s">
        <v>11</v>
      </c>
      <c r="B10" s="6">
        <v>60</v>
      </c>
      <c r="C10" s="6">
        <f>B9/B10</f>
        <v>2597.7350000000001</v>
      </c>
      <c r="D10" s="55"/>
      <c r="E10" s="39" t="s">
        <v>90</v>
      </c>
      <c r="F10" s="55"/>
    </row>
    <row r="11" spans="1:8" x14ac:dyDescent="0.25">
      <c r="A11" s="55" t="s">
        <v>13</v>
      </c>
      <c r="B11" s="14">
        <v>0.15</v>
      </c>
      <c r="C11" s="7">
        <f>B7*B11/12</f>
        <v>2783.2874999999999</v>
      </c>
      <c r="D11" s="55"/>
      <c r="E11" s="39" t="s">
        <v>105</v>
      </c>
      <c r="F11" s="55"/>
    </row>
    <row r="13" spans="1:8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8" ht="18" customHeight="1" x14ac:dyDescent="0.25">
      <c r="A14" s="2" t="s">
        <v>2</v>
      </c>
      <c r="B14" s="2">
        <v>7.29</v>
      </c>
      <c r="C14" s="2">
        <v>4</v>
      </c>
      <c r="D14" s="3">
        <f t="shared" ref="D14:D23" si="0">B14/C14</f>
        <v>1.8225</v>
      </c>
      <c r="E14" s="75" t="s">
        <v>84</v>
      </c>
      <c r="F14" s="41"/>
      <c r="G14" s="41"/>
      <c r="H14" s="41"/>
    </row>
    <row r="15" spans="1:8" ht="18" customHeight="1" x14ac:dyDescent="0.25">
      <c r="A15" s="2" t="s">
        <v>6</v>
      </c>
      <c r="B15" s="3">
        <v>500</v>
      </c>
      <c r="C15" s="2">
        <f>D5</f>
        <v>2419.1999999999998</v>
      </c>
      <c r="D15" s="3">
        <f t="shared" si="0"/>
        <v>0.20667989417989419</v>
      </c>
      <c r="E15" s="73" t="s">
        <v>96</v>
      </c>
      <c r="F15" s="41"/>
      <c r="G15" s="41"/>
      <c r="H15" s="41"/>
    </row>
    <row r="16" spans="1:8" x14ac:dyDescent="0.25">
      <c r="A16" s="2" t="s">
        <v>20</v>
      </c>
      <c r="B16" s="3"/>
      <c r="C16" s="2">
        <f>C15*12</f>
        <v>29030.399999999998</v>
      </c>
      <c r="D16" s="3">
        <f t="shared" si="0"/>
        <v>0</v>
      </c>
    </row>
    <row r="17" spans="1:16" x14ac:dyDescent="0.25">
      <c r="A17" s="2" t="s">
        <v>3</v>
      </c>
      <c r="B17" s="3">
        <v>700</v>
      </c>
      <c r="C17" s="2">
        <f>C15</f>
        <v>2419.1999999999998</v>
      </c>
      <c r="D17" s="3">
        <f t="shared" si="0"/>
        <v>0.28935185185185186</v>
      </c>
      <c r="E17" t="s">
        <v>85</v>
      </c>
    </row>
    <row r="18" spans="1:16" x14ac:dyDescent="0.25">
      <c r="A18" s="2" t="s">
        <v>28</v>
      </c>
      <c r="B18" s="3">
        <v>2940</v>
      </c>
      <c r="C18" s="2">
        <v>40000</v>
      </c>
      <c r="D18" s="3">
        <f t="shared" si="0"/>
        <v>7.3499999999999996E-2</v>
      </c>
      <c r="E18" t="s">
        <v>92</v>
      </c>
    </row>
    <row r="19" spans="1:16" x14ac:dyDescent="0.25">
      <c r="A19" s="2" t="s">
        <v>109</v>
      </c>
      <c r="B19" s="3">
        <v>63.4</v>
      </c>
      <c r="C19" s="2">
        <f>C20</f>
        <v>2419.1999999999998</v>
      </c>
      <c r="D19" s="3">
        <f>B19/C19</f>
        <v>2.6207010582010585E-2</v>
      </c>
      <c r="E19" t="s">
        <v>108</v>
      </c>
    </row>
    <row r="20" spans="1:16" x14ac:dyDescent="0.25">
      <c r="A20" s="2" t="s">
        <v>26</v>
      </c>
      <c r="B20" s="3">
        <v>250</v>
      </c>
      <c r="C20" s="2">
        <f>C17</f>
        <v>2419.1999999999998</v>
      </c>
      <c r="D20" s="3">
        <f t="shared" si="0"/>
        <v>0.10333994708994709</v>
      </c>
      <c r="E20" t="s">
        <v>97</v>
      </c>
    </row>
    <row r="21" spans="1:16" x14ac:dyDescent="0.25">
      <c r="A21" s="2" t="s">
        <v>4</v>
      </c>
      <c r="B21" s="3">
        <f>I61</f>
        <v>9122.6464646464647</v>
      </c>
      <c r="C21" s="2">
        <f>C17</f>
        <v>2419.1999999999998</v>
      </c>
      <c r="D21" s="3">
        <f t="shared" si="0"/>
        <v>3.7709352119074344</v>
      </c>
      <c r="E21" t="s">
        <v>86</v>
      </c>
      <c r="L21" s="99" t="s">
        <v>156</v>
      </c>
      <c r="M21" s="100"/>
      <c r="N21" s="100"/>
      <c r="O21" s="100"/>
      <c r="P21" s="101"/>
    </row>
    <row r="22" spans="1:16" x14ac:dyDescent="0.25">
      <c r="A22" s="2" t="s">
        <v>12</v>
      </c>
      <c r="B22" s="3">
        <f>C10</f>
        <v>2597.7350000000001</v>
      </c>
      <c r="C22" s="2">
        <f>C21</f>
        <v>2419.1999999999998</v>
      </c>
      <c r="D22" s="3">
        <f t="shared" si="0"/>
        <v>1.0737991898148149</v>
      </c>
      <c r="E22" t="s">
        <v>89</v>
      </c>
      <c r="L22" s="102" t="s">
        <v>157</v>
      </c>
      <c r="M22" s="102" t="s">
        <v>160</v>
      </c>
      <c r="N22" s="102" t="s">
        <v>161</v>
      </c>
      <c r="O22" s="102" t="s">
        <v>158</v>
      </c>
      <c r="P22" s="102" t="s">
        <v>159</v>
      </c>
    </row>
    <row r="23" spans="1:16" x14ac:dyDescent="0.25">
      <c r="A23" s="2" t="s">
        <v>14</v>
      </c>
      <c r="B23" s="8">
        <f>C11</f>
        <v>2783.2874999999999</v>
      </c>
      <c r="C23" s="2">
        <f>C22</f>
        <v>2419.1999999999998</v>
      </c>
      <c r="D23" s="3">
        <f t="shared" si="0"/>
        <v>1.1504991319444444</v>
      </c>
      <c r="E23" t="s">
        <v>89</v>
      </c>
      <c r="L23" s="103">
        <f>D31</f>
        <v>10.899816301386634</v>
      </c>
      <c r="M23" s="104">
        <f>D3</f>
        <v>100.8</v>
      </c>
      <c r="N23" s="103">
        <f>L23*M23</f>
        <v>1098.7014831797726</v>
      </c>
      <c r="O23" s="2">
        <v>200</v>
      </c>
      <c r="P23" s="103">
        <f>N23*O23</f>
        <v>219740.29663595452</v>
      </c>
    </row>
    <row r="24" spans="1:16" x14ac:dyDescent="0.25">
      <c r="A24" s="4" t="s">
        <v>24</v>
      </c>
      <c r="B24" s="4"/>
      <c r="C24" s="4" t="s">
        <v>5</v>
      </c>
      <c r="D24" s="5">
        <f>SUM(D14:D23)</f>
        <v>8.5168122373703969</v>
      </c>
    </row>
    <row r="26" spans="1:16" x14ac:dyDescent="0.25">
      <c r="A26" s="2" t="s">
        <v>17</v>
      </c>
      <c r="B26" s="2"/>
      <c r="C26" s="10">
        <v>0.1</v>
      </c>
      <c r="D26" s="8">
        <f>D24*C26</f>
        <v>0.85168122373703969</v>
      </c>
      <c r="E26" t="s">
        <v>88</v>
      </c>
    </row>
    <row r="27" spans="1:16" x14ac:dyDescent="0.25">
      <c r="A27" s="2" t="s">
        <v>18</v>
      </c>
      <c r="B27" s="2"/>
      <c r="C27" s="10">
        <v>0.1</v>
      </c>
      <c r="D27" s="8">
        <f>D24*C27</f>
        <v>0.85168122373703969</v>
      </c>
      <c r="E27" t="s">
        <v>88</v>
      </c>
    </row>
    <row r="28" spans="1:16" x14ac:dyDescent="0.25">
      <c r="A28" s="11" t="s">
        <v>15</v>
      </c>
      <c r="B28" s="11"/>
      <c r="C28" s="11"/>
      <c r="D28" s="12">
        <f>D27+D26+D24</f>
        <v>10.220174684844476</v>
      </c>
    </row>
    <row r="29" spans="1:16" x14ac:dyDescent="0.25">
      <c r="A29" s="2" t="s">
        <v>16</v>
      </c>
      <c r="B29" s="2"/>
      <c r="C29" s="13">
        <v>6.6500000000000004E-2</v>
      </c>
      <c r="D29" s="8">
        <f>D28*C29</f>
        <v>0.67964161654215771</v>
      </c>
      <c r="E29" t="s">
        <v>87</v>
      </c>
    </row>
    <row r="30" spans="1:16" x14ac:dyDescent="0.25">
      <c r="A30" s="2" t="s">
        <v>19</v>
      </c>
      <c r="B30" s="2"/>
      <c r="C30" s="10"/>
      <c r="D30" s="8"/>
    </row>
    <row r="31" spans="1:16" x14ac:dyDescent="0.25">
      <c r="A31" s="11" t="s">
        <v>25</v>
      </c>
      <c r="B31" s="11"/>
      <c r="C31" s="11"/>
      <c r="D31" s="12">
        <f>D28+D29</f>
        <v>10.899816301386634</v>
      </c>
    </row>
    <row r="32" spans="1:16" x14ac:dyDescent="0.25">
      <c r="A32" s="15" t="s">
        <v>27</v>
      </c>
      <c r="B32" s="2"/>
      <c r="C32" s="2">
        <f>D5</f>
        <v>2419.1999999999998</v>
      </c>
      <c r="D32" s="8">
        <f>D31*C32</f>
        <v>26368.835596314544</v>
      </c>
    </row>
    <row r="34" spans="1:9" ht="50.25" customHeight="1" x14ac:dyDescent="0.25">
      <c r="A34" s="82" t="s">
        <v>152</v>
      </c>
      <c r="B34" s="82"/>
      <c r="C34" s="82"/>
      <c r="D34" s="82"/>
      <c r="E34" s="82"/>
    </row>
    <row r="35" spans="1:9" x14ac:dyDescent="0.25">
      <c r="A35" s="9" t="s">
        <v>62</v>
      </c>
      <c r="C35" s="71" t="s">
        <v>154</v>
      </c>
      <c r="D35" s="16"/>
      <c r="E35" s="71" t="s">
        <v>155</v>
      </c>
    </row>
    <row r="36" spans="1:9" x14ac:dyDescent="0.25">
      <c r="A36" s="11" t="s">
        <v>79</v>
      </c>
      <c r="B36" s="2"/>
      <c r="C36" s="3">
        <v>2448.1</v>
      </c>
      <c r="D36" s="8">
        <v>220</v>
      </c>
      <c r="E36" s="2">
        <v>1789.04</v>
      </c>
    </row>
    <row r="37" spans="1:9" x14ac:dyDescent="0.25">
      <c r="A37" s="2" t="s">
        <v>80</v>
      </c>
      <c r="B37" s="2"/>
      <c r="C37" s="3">
        <f>C36/D36*200</f>
        <v>2225.5454545454545</v>
      </c>
      <c r="D37" s="8"/>
      <c r="E37" s="69">
        <f>E36/D36*200</f>
        <v>1626.3999999999999</v>
      </c>
    </row>
    <row r="38" spans="1:9" x14ac:dyDescent="0.25">
      <c r="A38" s="2" t="s">
        <v>52</v>
      </c>
      <c r="B38" s="10">
        <v>0.2</v>
      </c>
      <c r="C38" s="8">
        <f>C37*B38</f>
        <v>445.10909090909092</v>
      </c>
      <c r="D38" s="2"/>
      <c r="E38" s="69">
        <f>E37*B38</f>
        <v>325.27999999999997</v>
      </c>
    </row>
    <row r="39" spans="1:9" x14ac:dyDescent="0.25">
      <c r="A39" s="31" t="s">
        <v>60</v>
      </c>
      <c r="B39" s="10"/>
      <c r="C39" s="8"/>
      <c r="D39" s="12">
        <f>C38+C37</f>
        <v>2670.6545454545453</v>
      </c>
      <c r="E39" s="70">
        <f>SUM(E37:E38)</f>
        <v>1951.6799999999998</v>
      </c>
    </row>
    <row r="40" spans="1:9" x14ac:dyDescent="0.25">
      <c r="A40" s="2" t="s">
        <v>53</v>
      </c>
      <c r="B40" s="2">
        <v>20</v>
      </c>
      <c r="C40" s="3">
        <v>9.4</v>
      </c>
      <c r="D40" s="3">
        <f>C40*B40</f>
        <v>188</v>
      </c>
      <c r="E40" s="8">
        <f>D40</f>
        <v>188</v>
      </c>
    </row>
    <row r="41" spans="1:9" x14ac:dyDescent="0.25">
      <c r="A41" s="2" t="s">
        <v>54</v>
      </c>
      <c r="B41" s="2">
        <v>1</v>
      </c>
      <c r="C41" s="3">
        <v>740</v>
      </c>
      <c r="D41" s="3">
        <f>B41*C41</f>
        <v>740</v>
      </c>
      <c r="E41" s="8">
        <f>D41</f>
        <v>740</v>
      </c>
    </row>
    <row r="42" spans="1:9" x14ac:dyDescent="0.25">
      <c r="A42" s="2" t="s">
        <v>81</v>
      </c>
      <c r="B42" s="2"/>
      <c r="C42" s="63">
        <v>5.0700000000000002E-2</v>
      </c>
      <c r="D42" s="3">
        <f>-D41*C42</f>
        <v>-37.518000000000001</v>
      </c>
      <c r="E42" s="69">
        <f>E41*C42</f>
        <v>37.518000000000001</v>
      </c>
    </row>
    <row r="43" spans="1:9" x14ac:dyDescent="0.25">
      <c r="A43" s="2" t="s">
        <v>82</v>
      </c>
      <c r="B43" s="2"/>
      <c r="C43" s="63">
        <v>0.06</v>
      </c>
      <c r="D43" s="3">
        <f>-C37*C43</f>
        <v>-133.53272727272727</v>
      </c>
      <c r="E43" s="8">
        <f>E37*C43</f>
        <v>97.583999999999989</v>
      </c>
    </row>
    <row r="44" spans="1:9" x14ac:dyDescent="0.25">
      <c r="A44" s="11" t="s">
        <v>55</v>
      </c>
      <c r="B44" s="11"/>
      <c r="C44" s="11"/>
      <c r="D44" s="12">
        <f>SUM(D39:D43)</f>
        <v>3427.603818181818</v>
      </c>
      <c r="E44" s="12">
        <f>SUM(E39:E43)</f>
        <v>3014.7819999999997</v>
      </c>
    </row>
    <row r="45" spans="1:9" x14ac:dyDescent="0.25">
      <c r="A45" s="2" t="s">
        <v>56</v>
      </c>
      <c r="B45" s="2"/>
      <c r="C45" s="2"/>
      <c r="D45" s="8">
        <f>D44/12</f>
        <v>285.63365151515148</v>
      </c>
      <c r="E45" s="8">
        <f>E44/12</f>
        <v>251.2318333333333</v>
      </c>
    </row>
    <row r="46" spans="1:9" x14ac:dyDescent="0.25">
      <c r="A46" s="2" t="s">
        <v>57</v>
      </c>
      <c r="B46" s="2"/>
      <c r="C46" s="2"/>
      <c r="D46" s="3">
        <f>(D44/3)/12</f>
        <v>95.211217171717166</v>
      </c>
      <c r="E46" s="3">
        <f>(E44/3)/12</f>
        <v>83.743944444444438</v>
      </c>
    </row>
    <row r="47" spans="1:9" x14ac:dyDescent="0.25">
      <c r="A47" s="11" t="s">
        <v>58</v>
      </c>
      <c r="B47" s="11"/>
      <c r="C47" s="11"/>
      <c r="D47" s="30">
        <f>D46+D45+D44</f>
        <v>3808.4486868686868</v>
      </c>
      <c r="E47" s="30">
        <f>E46+E45+E44</f>
        <v>3349.7577777777774</v>
      </c>
      <c r="F47" s="9" t="s">
        <v>59</v>
      </c>
      <c r="G47" s="9"/>
      <c r="H47" s="9"/>
      <c r="I47" s="29">
        <f>D39+D45+D46+E39+E45+E46</f>
        <v>5338.1551919191916</v>
      </c>
    </row>
    <row r="49" spans="1:9" ht="30" x14ac:dyDescent="0.25">
      <c r="A49" s="17" t="s">
        <v>29</v>
      </c>
      <c r="B49" s="79" t="s">
        <v>30</v>
      </c>
      <c r="C49" s="80"/>
      <c r="D49" s="80"/>
      <c r="E49" s="80"/>
      <c r="F49" s="80"/>
      <c r="G49" s="81"/>
      <c r="H49" s="18" t="s">
        <v>31</v>
      </c>
      <c r="I49" s="18" t="s">
        <v>32</v>
      </c>
    </row>
    <row r="50" spans="1:9" x14ac:dyDescent="0.25">
      <c r="A50" s="19" t="s">
        <v>33</v>
      </c>
      <c r="B50" s="76" t="s">
        <v>34</v>
      </c>
      <c r="C50" s="77"/>
      <c r="D50" s="77"/>
      <c r="E50" s="77"/>
      <c r="F50" s="77"/>
      <c r="G50" s="78"/>
      <c r="H50" s="20">
        <v>0.2</v>
      </c>
      <c r="I50" s="21">
        <f>$I$47*H50</f>
        <v>1067.6310383838384</v>
      </c>
    </row>
    <row r="51" spans="1:9" x14ac:dyDescent="0.25">
      <c r="A51" s="19" t="s">
        <v>35</v>
      </c>
      <c r="B51" s="76" t="s">
        <v>36</v>
      </c>
      <c r="C51" s="77"/>
      <c r="D51" s="77"/>
      <c r="E51" s="77"/>
      <c r="F51" s="77"/>
      <c r="G51" s="78"/>
      <c r="H51" s="20">
        <v>1.4999999999999999E-2</v>
      </c>
      <c r="I51" s="21">
        <f t="shared" ref="I51:I57" si="1">$I$47*H51</f>
        <v>80.072327878787874</v>
      </c>
    </row>
    <row r="52" spans="1:9" x14ac:dyDescent="0.25">
      <c r="A52" s="19" t="s">
        <v>37</v>
      </c>
      <c r="B52" s="76" t="s">
        <v>38</v>
      </c>
      <c r="C52" s="77"/>
      <c r="D52" s="77"/>
      <c r="E52" s="77"/>
      <c r="F52" s="77"/>
      <c r="G52" s="78"/>
      <c r="H52" s="20">
        <v>0.01</v>
      </c>
      <c r="I52" s="21">
        <f t="shared" si="1"/>
        <v>53.381551919191914</v>
      </c>
    </row>
    <row r="53" spans="1:9" x14ac:dyDescent="0.25">
      <c r="A53" s="19" t="s">
        <v>39</v>
      </c>
      <c r="B53" s="76" t="s">
        <v>40</v>
      </c>
      <c r="C53" s="77"/>
      <c r="D53" s="77"/>
      <c r="E53" s="77"/>
      <c r="F53" s="77"/>
      <c r="G53" s="78"/>
      <c r="H53" s="20">
        <v>2E-3</v>
      </c>
      <c r="I53" s="21">
        <f t="shared" si="1"/>
        <v>10.676310383838384</v>
      </c>
    </row>
    <row r="54" spans="1:9" x14ac:dyDescent="0.25">
      <c r="A54" s="19" t="s">
        <v>41</v>
      </c>
      <c r="B54" s="87" t="s">
        <v>42</v>
      </c>
      <c r="C54" s="88"/>
      <c r="D54" s="88"/>
      <c r="E54" s="88"/>
      <c r="F54" s="88"/>
      <c r="G54" s="89"/>
      <c r="H54" s="20">
        <v>2.5000000000000001E-2</v>
      </c>
      <c r="I54" s="21">
        <f t="shared" si="1"/>
        <v>133.45387979797979</v>
      </c>
    </row>
    <row r="55" spans="1:9" x14ac:dyDescent="0.25">
      <c r="A55" s="19" t="s">
        <v>43</v>
      </c>
      <c r="B55" s="87" t="s">
        <v>44</v>
      </c>
      <c r="C55" s="88"/>
      <c r="D55" s="88"/>
      <c r="E55" s="88"/>
      <c r="F55" s="88"/>
      <c r="G55" s="89"/>
      <c r="H55" s="22">
        <v>0.08</v>
      </c>
      <c r="I55" s="21">
        <f t="shared" si="1"/>
        <v>427.05241535353531</v>
      </c>
    </row>
    <row r="56" spans="1:9" x14ac:dyDescent="0.25">
      <c r="A56" s="19" t="s">
        <v>45</v>
      </c>
      <c r="B56" s="90" t="s">
        <v>46</v>
      </c>
      <c r="C56" s="91"/>
      <c r="D56" s="23" t="s">
        <v>47</v>
      </c>
      <c r="E56" s="24">
        <v>0.03</v>
      </c>
      <c r="F56" s="23" t="s">
        <v>48</v>
      </c>
      <c r="G56" s="25">
        <v>1</v>
      </c>
      <c r="H56" s="26">
        <f>ROUND((E56*G56),6)</f>
        <v>0.03</v>
      </c>
      <c r="I56" s="21">
        <f t="shared" si="1"/>
        <v>160.14465575757575</v>
      </c>
    </row>
    <row r="57" spans="1:9" x14ac:dyDescent="0.25">
      <c r="A57" s="19" t="s">
        <v>49</v>
      </c>
      <c r="B57" s="87" t="s">
        <v>50</v>
      </c>
      <c r="C57" s="88"/>
      <c r="D57" s="88"/>
      <c r="E57" s="88"/>
      <c r="F57" s="88"/>
      <c r="G57" s="89"/>
      <c r="H57" s="20">
        <v>6.0000000000000001E-3</v>
      </c>
      <c r="I57" s="21">
        <f t="shared" si="1"/>
        <v>32.028931151515152</v>
      </c>
    </row>
    <row r="58" spans="1:9" x14ac:dyDescent="0.25">
      <c r="A58" s="92" t="s">
        <v>51</v>
      </c>
      <c r="B58" s="93"/>
      <c r="C58" s="93"/>
      <c r="D58" s="93"/>
      <c r="E58" s="93"/>
      <c r="F58" s="93"/>
      <c r="G58" s="94"/>
      <c r="H58" s="27">
        <f>SUM(H50:H57)</f>
        <v>0.3680000000000001</v>
      </c>
      <c r="I58" s="28">
        <f>TRUNC(SUM(I50:I57),2)</f>
        <v>1964.44</v>
      </c>
    </row>
    <row r="60" spans="1:9" x14ac:dyDescent="0.25">
      <c r="A60" s="32" t="s">
        <v>63</v>
      </c>
      <c r="B60" s="2"/>
      <c r="C60" s="2"/>
      <c r="D60" s="2"/>
      <c r="E60" s="2"/>
      <c r="F60" s="2"/>
      <c r="G60" s="2"/>
      <c r="H60" s="2"/>
      <c r="I60" s="12">
        <f>D47+I58+E47</f>
        <v>9122.6464646464647</v>
      </c>
    </row>
    <row r="61" spans="1:9" x14ac:dyDescent="0.25">
      <c r="A61" s="33" t="s">
        <v>61</v>
      </c>
      <c r="B61" s="2"/>
      <c r="C61" s="2"/>
      <c r="D61" s="2"/>
      <c r="E61" s="2"/>
      <c r="F61" s="2"/>
      <c r="G61" s="2"/>
      <c r="H61" s="10">
        <v>1</v>
      </c>
      <c r="I61" s="12">
        <f>I60*H61</f>
        <v>9122.6464646464647</v>
      </c>
    </row>
    <row r="65" spans="1:1" x14ac:dyDescent="0.25">
      <c r="A65" s="34" t="s">
        <v>64</v>
      </c>
    </row>
    <row r="66" spans="1:1" x14ac:dyDescent="0.25">
      <c r="A66" s="35" t="s">
        <v>65</v>
      </c>
    </row>
    <row r="67" spans="1:1" x14ac:dyDescent="0.25">
      <c r="A67" s="35" t="s">
        <v>66</v>
      </c>
    </row>
    <row r="68" spans="1:1" x14ac:dyDescent="0.25">
      <c r="A68" s="35" t="s">
        <v>67</v>
      </c>
    </row>
    <row r="69" spans="1:1" x14ac:dyDescent="0.25">
      <c r="A69" s="35" t="s">
        <v>68</v>
      </c>
    </row>
    <row r="70" spans="1:1" x14ac:dyDescent="0.25">
      <c r="A70" s="35"/>
    </row>
    <row r="71" spans="1:1" x14ac:dyDescent="0.25">
      <c r="A71" s="35"/>
    </row>
    <row r="72" spans="1:1" x14ac:dyDescent="0.25">
      <c r="A72" s="35"/>
    </row>
    <row r="73" spans="1:1" x14ac:dyDescent="0.25">
      <c r="A73" s="36" t="s">
        <v>69</v>
      </c>
    </row>
    <row r="74" spans="1:1" x14ac:dyDescent="0.25">
      <c r="A74" s="37" t="s">
        <v>70</v>
      </c>
    </row>
    <row r="75" spans="1:1" x14ac:dyDescent="0.25">
      <c r="A75" s="37" t="s">
        <v>71</v>
      </c>
    </row>
    <row r="76" spans="1:1" x14ac:dyDescent="0.25">
      <c r="A76" s="37" t="s">
        <v>72</v>
      </c>
    </row>
    <row r="77" spans="1:1" x14ac:dyDescent="0.25">
      <c r="A77" s="37" t="s">
        <v>73</v>
      </c>
    </row>
    <row r="78" spans="1:1" x14ac:dyDescent="0.25">
      <c r="A78" s="37" t="s">
        <v>74</v>
      </c>
    </row>
    <row r="79" spans="1:1" x14ac:dyDescent="0.25">
      <c r="A79" s="37" t="s">
        <v>75</v>
      </c>
    </row>
    <row r="80" spans="1:1" x14ac:dyDescent="0.25">
      <c r="A80" s="38" t="s">
        <v>76</v>
      </c>
    </row>
    <row r="83" spans="1:1" x14ac:dyDescent="0.25">
      <c r="A83" s="42" t="s">
        <v>98</v>
      </c>
    </row>
    <row r="84" spans="1:1" x14ac:dyDescent="0.25">
      <c r="A84" s="37" t="s">
        <v>99</v>
      </c>
    </row>
    <row r="85" spans="1:1" x14ac:dyDescent="0.25">
      <c r="A85" s="37" t="s">
        <v>100</v>
      </c>
    </row>
    <row r="86" spans="1:1" x14ac:dyDescent="0.25">
      <c r="A86" s="37" t="s">
        <v>101</v>
      </c>
    </row>
    <row r="87" spans="1:1" x14ac:dyDescent="0.25">
      <c r="A87" s="37" t="s">
        <v>102</v>
      </c>
    </row>
    <row r="88" spans="1:1" x14ac:dyDescent="0.25">
      <c r="A88" s="37" t="s">
        <v>103</v>
      </c>
    </row>
    <row r="89" spans="1:1" x14ac:dyDescent="0.25">
      <c r="A89" s="37"/>
    </row>
    <row r="90" spans="1:1" x14ac:dyDescent="0.25">
      <c r="A90" s="37" t="s">
        <v>153</v>
      </c>
    </row>
    <row r="113" spans="1:2" x14ac:dyDescent="0.25">
      <c r="A113" t="s">
        <v>93</v>
      </c>
      <c r="B113" t="s">
        <v>125</v>
      </c>
    </row>
    <row r="129" spans="1:1" x14ac:dyDescent="0.25">
      <c r="A129" t="s">
        <v>94</v>
      </c>
    </row>
    <row r="130" spans="1:1" x14ac:dyDescent="0.25">
      <c r="A130" t="s">
        <v>95</v>
      </c>
    </row>
    <row r="148" spans="1:4" ht="78" customHeight="1" x14ac:dyDescent="0.25">
      <c r="A148" s="84" t="s">
        <v>113</v>
      </c>
      <c r="B148" s="85"/>
      <c r="C148" s="85"/>
      <c r="D148" s="86"/>
    </row>
    <row r="149" spans="1:4" x14ac:dyDescent="0.25">
      <c r="A149" s="46" t="s">
        <v>120</v>
      </c>
      <c r="B149" s="47"/>
      <c r="C149" s="47"/>
      <c r="D149" s="49"/>
    </row>
    <row r="150" spans="1:4" x14ac:dyDescent="0.25">
      <c r="A150" s="46" t="s">
        <v>121</v>
      </c>
      <c r="B150" s="47"/>
      <c r="C150" s="47"/>
      <c r="D150" s="49"/>
    </row>
    <row r="151" spans="1:4" x14ac:dyDescent="0.25">
      <c r="A151" s="46" t="s">
        <v>122</v>
      </c>
      <c r="B151" s="47"/>
      <c r="C151" s="47"/>
      <c r="D151" s="49"/>
    </row>
    <row r="152" spans="1:4" x14ac:dyDescent="0.25">
      <c r="A152" s="50" t="s">
        <v>123</v>
      </c>
      <c r="B152" s="51"/>
      <c r="C152" s="51"/>
      <c r="D152" s="52"/>
    </row>
    <row r="154" spans="1:4" x14ac:dyDescent="0.25">
      <c r="C154" s="56"/>
    </row>
    <row r="157" spans="1:4" x14ac:dyDescent="0.25">
      <c r="A157" t="s">
        <v>106</v>
      </c>
    </row>
  </sheetData>
  <mergeCells count="15">
    <mergeCell ref="L21:P21"/>
    <mergeCell ref="A148:D148"/>
    <mergeCell ref="B53:G53"/>
    <mergeCell ref="B54:G54"/>
    <mergeCell ref="B55:G55"/>
    <mergeCell ref="B56:C56"/>
    <mergeCell ref="B57:G57"/>
    <mergeCell ref="A58:G58"/>
    <mergeCell ref="B52:G52"/>
    <mergeCell ref="A1:F1"/>
    <mergeCell ref="B49:G49"/>
    <mergeCell ref="B50:G50"/>
    <mergeCell ref="B51:G51"/>
    <mergeCell ref="E7:G7"/>
    <mergeCell ref="A34:E34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78"/>
  <sheetViews>
    <sheetView workbookViewId="0">
      <selection activeCell="B15" sqref="B15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25.42578125" customWidth="1"/>
    <col min="8" max="8" width="9.85546875" customWidth="1"/>
    <col min="9" max="9" width="9.5703125" bestFit="1" customWidth="1"/>
    <col min="12" max="12" width="16.140625" customWidth="1"/>
    <col min="13" max="13" width="15.5703125" customWidth="1"/>
    <col min="14" max="14" width="16.7109375" customWidth="1"/>
    <col min="16" max="16" width="15.140625" customWidth="1"/>
  </cols>
  <sheetData>
    <row r="1" spans="1:8" x14ac:dyDescent="0.25">
      <c r="A1" s="83" t="s">
        <v>7</v>
      </c>
      <c r="B1" s="83"/>
      <c r="C1" s="83"/>
      <c r="D1" s="83"/>
      <c r="E1" s="83"/>
      <c r="F1" s="83"/>
    </row>
    <row r="2" spans="1:8" x14ac:dyDescent="0.25">
      <c r="A2" s="58" t="s">
        <v>138</v>
      </c>
      <c r="B2" s="58"/>
      <c r="C2" s="58"/>
      <c r="D2" s="58"/>
      <c r="E2" s="58"/>
      <c r="F2" s="58"/>
    </row>
    <row r="3" spans="1:8" x14ac:dyDescent="0.25">
      <c r="A3" s="58"/>
      <c r="B3" s="39" t="s">
        <v>77</v>
      </c>
      <c r="C3" s="58"/>
      <c r="D3" s="58">
        <v>143.1</v>
      </c>
      <c r="E3" s="58"/>
      <c r="F3" s="58"/>
    </row>
    <row r="4" spans="1:8" x14ac:dyDescent="0.25">
      <c r="A4" s="58"/>
      <c r="B4" s="39" t="s">
        <v>78</v>
      </c>
      <c r="C4" s="58"/>
      <c r="D4" s="58">
        <v>24</v>
      </c>
      <c r="E4" s="58"/>
      <c r="F4" s="58"/>
    </row>
    <row r="5" spans="1:8" x14ac:dyDescent="0.25">
      <c r="A5" s="9" t="s">
        <v>143</v>
      </c>
      <c r="B5" t="s">
        <v>23</v>
      </c>
      <c r="D5">
        <f>D3*D4</f>
        <v>3434.3999999999996</v>
      </c>
    </row>
    <row r="6" spans="1:8" x14ac:dyDescent="0.25">
      <c r="B6" t="s">
        <v>110</v>
      </c>
      <c r="D6">
        <f>D5*10</f>
        <v>34344</v>
      </c>
    </row>
    <row r="7" spans="1:8" ht="49.15" customHeight="1" x14ac:dyDescent="0.25">
      <c r="A7" s="58" t="s">
        <v>9</v>
      </c>
      <c r="B7" s="6">
        <v>233300</v>
      </c>
      <c r="C7" s="58"/>
      <c r="D7" s="58"/>
      <c r="E7" s="96" t="s">
        <v>104</v>
      </c>
      <c r="F7" s="96"/>
      <c r="G7" s="96"/>
      <c r="H7" s="96"/>
    </row>
    <row r="8" spans="1:8" x14ac:dyDescent="0.25">
      <c r="A8" s="58" t="s">
        <v>124</v>
      </c>
      <c r="B8" s="6">
        <f>B7*30%</f>
        <v>69990</v>
      </c>
      <c r="C8" s="58"/>
      <c r="D8" s="58"/>
      <c r="E8" s="39" t="s">
        <v>91</v>
      </c>
      <c r="F8" s="58"/>
    </row>
    <row r="9" spans="1:8" x14ac:dyDescent="0.25">
      <c r="A9" s="58" t="s">
        <v>10</v>
      </c>
      <c r="B9" s="6">
        <f>B7-B8</f>
        <v>163310</v>
      </c>
      <c r="C9" s="58"/>
      <c r="D9" s="58"/>
      <c r="E9" s="58"/>
      <c r="F9" s="58"/>
    </row>
    <row r="10" spans="1:8" x14ac:dyDescent="0.25">
      <c r="A10" s="58" t="s">
        <v>11</v>
      </c>
      <c r="B10" s="6">
        <v>60</v>
      </c>
      <c r="C10" s="6">
        <f>B9/B10</f>
        <v>2721.8333333333335</v>
      </c>
      <c r="D10" s="58"/>
      <c r="E10" s="39" t="s">
        <v>90</v>
      </c>
      <c r="F10" s="58"/>
    </row>
    <row r="11" spans="1:8" x14ac:dyDescent="0.25">
      <c r="A11" s="58" t="s">
        <v>13</v>
      </c>
      <c r="B11" s="14">
        <v>0.15</v>
      </c>
      <c r="C11" s="7">
        <f>B7*B11/12</f>
        <v>2916.25</v>
      </c>
      <c r="D11" s="58"/>
      <c r="E11" s="39" t="s">
        <v>105</v>
      </c>
      <c r="F11" s="58"/>
    </row>
    <row r="13" spans="1:8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8" x14ac:dyDescent="0.25">
      <c r="A14" s="2" t="s">
        <v>2</v>
      </c>
      <c r="B14" s="2">
        <v>7.29</v>
      </c>
      <c r="C14" s="2">
        <v>3.5</v>
      </c>
      <c r="D14" s="3">
        <f t="shared" ref="D14:D23" si="0">B14/C14</f>
        <v>2.0828571428571427</v>
      </c>
      <c r="E14" s="60" t="s">
        <v>84</v>
      </c>
    </row>
    <row r="15" spans="1:8" x14ac:dyDescent="0.25">
      <c r="A15" s="2" t="s">
        <v>6</v>
      </c>
      <c r="B15" s="3">
        <v>600</v>
      </c>
      <c r="C15" s="2">
        <f>D5</f>
        <v>3434.3999999999996</v>
      </c>
      <c r="D15" s="3">
        <f t="shared" si="0"/>
        <v>0.17470300489168417</v>
      </c>
      <c r="E15" s="61" t="s">
        <v>96</v>
      </c>
    </row>
    <row r="16" spans="1:8" x14ac:dyDescent="0.25">
      <c r="A16" s="2" t="s">
        <v>20</v>
      </c>
      <c r="B16" s="3"/>
      <c r="C16" s="2">
        <f>C15*12</f>
        <v>41212.799999999996</v>
      </c>
      <c r="D16" s="3">
        <f t="shared" si="0"/>
        <v>0</v>
      </c>
    </row>
    <row r="17" spans="1:16" x14ac:dyDescent="0.25">
      <c r="A17" s="2" t="s">
        <v>3</v>
      </c>
      <c r="B17" s="3">
        <v>700</v>
      </c>
      <c r="C17" s="2">
        <f>C15</f>
        <v>3434.3999999999996</v>
      </c>
      <c r="D17" s="3">
        <f t="shared" si="0"/>
        <v>0.20382017237363151</v>
      </c>
      <c r="E17" t="s">
        <v>85</v>
      </c>
    </row>
    <row r="18" spans="1:16" x14ac:dyDescent="0.25">
      <c r="A18" s="2" t="s">
        <v>114</v>
      </c>
      <c r="B18" s="3">
        <v>12105</v>
      </c>
      <c r="C18" s="2">
        <v>60000</v>
      </c>
      <c r="D18" s="3">
        <f t="shared" si="0"/>
        <v>0.20175000000000001</v>
      </c>
      <c r="E18" t="s">
        <v>92</v>
      </c>
    </row>
    <row r="19" spans="1:16" x14ac:dyDescent="0.25">
      <c r="A19" s="2" t="s">
        <v>109</v>
      </c>
      <c r="B19" s="3">
        <v>63.4</v>
      </c>
      <c r="C19" s="2">
        <f>C20</f>
        <v>3434.3999999999996</v>
      </c>
      <c r="D19" s="3">
        <f>B19/C19</f>
        <v>1.8460284183554627E-2</v>
      </c>
      <c r="E19" t="s">
        <v>108</v>
      </c>
    </row>
    <row r="20" spans="1:16" x14ac:dyDescent="0.25">
      <c r="A20" s="2" t="s">
        <v>26</v>
      </c>
      <c r="B20" s="3">
        <v>250</v>
      </c>
      <c r="C20" s="2">
        <f>C17</f>
        <v>3434.3999999999996</v>
      </c>
      <c r="D20" s="3">
        <f t="shared" si="0"/>
        <v>7.2792918704868398E-2</v>
      </c>
      <c r="E20" t="s">
        <v>97</v>
      </c>
    </row>
    <row r="21" spans="1:16" x14ac:dyDescent="0.25">
      <c r="A21" s="2" t="s">
        <v>4</v>
      </c>
      <c r="B21" s="3">
        <f>I61</f>
        <v>9122.6464646464647</v>
      </c>
      <c r="C21" s="2">
        <f>C17</f>
        <v>3434.3999999999996</v>
      </c>
      <c r="D21" s="3">
        <f t="shared" si="0"/>
        <v>2.6562562498970608</v>
      </c>
      <c r="E21" t="s">
        <v>86</v>
      </c>
    </row>
    <row r="22" spans="1:16" x14ac:dyDescent="0.25">
      <c r="A22" s="2" t="s">
        <v>12</v>
      </c>
      <c r="B22" s="3">
        <f>C10</f>
        <v>2721.8333333333335</v>
      </c>
      <c r="C22" s="2">
        <f>C21</f>
        <v>3434.3999999999996</v>
      </c>
      <c r="D22" s="3">
        <f t="shared" si="0"/>
        <v>0.79252077024613721</v>
      </c>
      <c r="E22" t="s">
        <v>89</v>
      </c>
      <c r="L22" s="99" t="s">
        <v>156</v>
      </c>
      <c r="M22" s="100"/>
      <c r="N22" s="100"/>
      <c r="O22" s="100"/>
      <c r="P22" s="101"/>
    </row>
    <row r="23" spans="1:16" x14ac:dyDescent="0.25">
      <c r="A23" s="2" t="s">
        <v>14</v>
      </c>
      <c r="B23" s="8">
        <f>C11</f>
        <v>2916.25</v>
      </c>
      <c r="C23" s="2">
        <f>C22</f>
        <v>3434.3999999999996</v>
      </c>
      <c r="D23" s="3">
        <f t="shared" si="0"/>
        <v>0.84912939669228982</v>
      </c>
      <c r="E23" t="s">
        <v>89</v>
      </c>
      <c r="L23" s="102" t="s">
        <v>157</v>
      </c>
      <c r="M23" s="102" t="s">
        <v>160</v>
      </c>
      <c r="N23" s="102" t="s">
        <v>161</v>
      </c>
      <c r="O23" s="102" t="s">
        <v>158</v>
      </c>
      <c r="P23" s="102" t="s">
        <v>159</v>
      </c>
    </row>
    <row r="24" spans="1:16" x14ac:dyDescent="0.25">
      <c r="A24" s="4" t="s">
        <v>24</v>
      </c>
      <c r="B24" s="4"/>
      <c r="C24" s="4" t="s">
        <v>5</v>
      </c>
      <c r="D24" s="5">
        <f>SUM(D14:D23)</f>
        <v>7.0522899398463688</v>
      </c>
      <c r="L24" s="103">
        <f>D31</f>
        <v>9.0255206650153834</v>
      </c>
      <c r="M24" s="104">
        <f>D3</f>
        <v>143.1</v>
      </c>
      <c r="N24" s="103">
        <f>L24*M24</f>
        <v>1291.5520071637013</v>
      </c>
      <c r="O24" s="2">
        <v>200</v>
      </c>
      <c r="P24" s="103">
        <f>N24*O24</f>
        <v>258310.40143274027</v>
      </c>
    </row>
    <row r="26" spans="1:16" x14ac:dyDescent="0.25">
      <c r="A26" s="2" t="s">
        <v>17</v>
      </c>
      <c r="B26" s="2"/>
      <c r="C26" s="10">
        <v>0.1</v>
      </c>
      <c r="D26" s="8">
        <f>D24*C26</f>
        <v>0.7052289939846369</v>
      </c>
      <c r="E26" t="s">
        <v>88</v>
      </c>
    </row>
    <row r="27" spans="1:16" x14ac:dyDescent="0.25">
      <c r="A27" s="2" t="s">
        <v>18</v>
      </c>
      <c r="B27" s="2"/>
      <c r="C27" s="10">
        <v>0.1</v>
      </c>
      <c r="D27" s="8">
        <f>D24*C27</f>
        <v>0.7052289939846369</v>
      </c>
      <c r="E27" t="s">
        <v>88</v>
      </c>
    </row>
    <row r="28" spans="1:16" x14ac:dyDescent="0.25">
      <c r="A28" s="11" t="s">
        <v>15</v>
      </c>
      <c r="B28" s="11"/>
      <c r="C28" s="11"/>
      <c r="D28" s="12">
        <f>D27+D26+D24</f>
        <v>8.4627479278156432</v>
      </c>
    </row>
    <row r="29" spans="1:16" x14ac:dyDescent="0.25">
      <c r="A29" s="2" t="s">
        <v>16</v>
      </c>
      <c r="B29" s="2"/>
      <c r="C29" s="13">
        <v>6.6500000000000004E-2</v>
      </c>
      <c r="D29" s="8">
        <f>D28*C29</f>
        <v>0.5627727371997403</v>
      </c>
      <c r="E29" t="s">
        <v>87</v>
      </c>
    </row>
    <row r="30" spans="1:16" x14ac:dyDescent="0.25">
      <c r="A30" s="2" t="s">
        <v>19</v>
      </c>
      <c r="B30" s="2"/>
      <c r="C30" s="10"/>
      <c r="D30" s="8"/>
    </row>
    <row r="31" spans="1:16" x14ac:dyDescent="0.25">
      <c r="A31" s="11" t="s">
        <v>25</v>
      </c>
      <c r="B31" s="11"/>
      <c r="C31" s="11"/>
      <c r="D31" s="12">
        <f>D28+D29</f>
        <v>9.0255206650153834</v>
      </c>
    </row>
    <row r="32" spans="1:16" x14ac:dyDescent="0.25">
      <c r="A32" s="15" t="s">
        <v>27</v>
      </c>
      <c r="B32" s="2"/>
      <c r="C32" s="2">
        <f>D5</f>
        <v>3434.3999999999996</v>
      </c>
      <c r="D32" s="8">
        <f>D31*C32</f>
        <v>30997.24817192883</v>
      </c>
    </row>
    <row r="34" spans="1:9" ht="50.25" customHeight="1" x14ac:dyDescent="0.25">
      <c r="A34" s="82" t="s">
        <v>152</v>
      </c>
      <c r="B34" s="82"/>
      <c r="C34" s="82"/>
      <c r="D34" s="82"/>
      <c r="E34" s="82"/>
    </row>
    <row r="35" spans="1:9" x14ac:dyDescent="0.25">
      <c r="A35" s="9" t="s">
        <v>62</v>
      </c>
      <c r="C35" s="71" t="s">
        <v>154</v>
      </c>
      <c r="D35" s="16"/>
      <c r="E35" s="71" t="s">
        <v>155</v>
      </c>
    </row>
    <row r="36" spans="1:9" x14ac:dyDescent="0.25">
      <c r="A36" s="11" t="s">
        <v>79</v>
      </c>
      <c r="B36" s="2"/>
      <c r="C36" s="3">
        <v>2448.1</v>
      </c>
      <c r="D36" s="8">
        <v>220</v>
      </c>
      <c r="E36" s="2">
        <v>1789.04</v>
      </c>
    </row>
    <row r="37" spans="1:9" x14ac:dyDescent="0.25">
      <c r="A37" s="2" t="s">
        <v>80</v>
      </c>
      <c r="B37" s="2"/>
      <c r="C37" s="3">
        <f>C36/D36*200</f>
        <v>2225.5454545454545</v>
      </c>
      <c r="D37" s="8"/>
      <c r="E37" s="69">
        <f>E36/D36*200</f>
        <v>1626.3999999999999</v>
      </c>
    </row>
    <row r="38" spans="1:9" x14ac:dyDescent="0.25">
      <c r="A38" s="2" t="s">
        <v>52</v>
      </c>
      <c r="B38" s="10">
        <v>0.2</v>
      </c>
      <c r="C38" s="8">
        <f>C37*B38</f>
        <v>445.10909090909092</v>
      </c>
      <c r="D38" s="2"/>
      <c r="E38" s="69">
        <f>E37*B38</f>
        <v>325.27999999999997</v>
      </c>
    </row>
    <row r="39" spans="1:9" x14ac:dyDescent="0.25">
      <c r="A39" s="31" t="s">
        <v>60</v>
      </c>
      <c r="B39" s="10"/>
      <c r="C39" s="8"/>
      <c r="D39" s="12">
        <f>C38+C37</f>
        <v>2670.6545454545453</v>
      </c>
      <c r="E39" s="70">
        <f>SUM(E37:E38)</f>
        <v>1951.6799999999998</v>
      </c>
    </row>
    <row r="40" spans="1:9" x14ac:dyDescent="0.25">
      <c r="A40" s="2" t="s">
        <v>53</v>
      </c>
      <c r="B40" s="2">
        <v>20</v>
      </c>
      <c r="C40" s="3">
        <v>9.4</v>
      </c>
      <c r="D40" s="3">
        <f>C40*B40</f>
        <v>188</v>
      </c>
      <c r="E40" s="8">
        <f>D40</f>
        <v>188</v>
      </c>
    </row>
    <row r="41" spans="1:9" x14ac:dyDescent="0.25">
      <c r="A41" s="2" t="s">
        <v>54</v>
      </c>
      <c r="B41" s="2">
        <v>1</v>
      </c>
      <c r="C41" s="3">
        <v>740</v>
      </c>
      <c r="D41" s="3">
        <f>B41*C41</f>
        <v>740</v>
      </c>
      <c r="E41" s="8">
        <f>D41</f>
        <v>740</v>
      </c>
    </row>
    <row r="42" spans="1:9" x14ac:dyDescent="0.25">
      <c r="A42" s="2" t="s">
        <v>81</v>
      </c>
      <c r="B42" s="2"/>
      <c r="C42" s="63">
        <v>5.0700000000000002E-2</v>
      </c>
      <c r="D42" s="3">
        <f>-D41*C42</f>
        <v>-37.518000000000001</v>
      </c>
      <c r="E42" s="69">
        <f>E41*C42</f>
        <v>37.518000000000001</v>
      </c>
    </row>
    <row r="43" spans="1:9" x14ac:dyDescent="0.25">
      <c r="A43" s="2" t="s">
        <v>82</v>
      </c>
      <c r="B43" s="2"/>
      <c r="C43" s="63">
        <v>0.06</v>
      </c>
      <c r="D43" s="3">
        <f>-C37*C43</f>
        <v>-133.53272727272727</v>
      </c>
      <c r="E43" s="8">
        <f>E37*C43</f>
        <v>97.583999999999989</v>
      </c>
    </row>
    <row r="44" spans="1:9" x14ac:dyDescent="0.25">
      <c r="A44" s="11" t="s">
        <v>55</v>
      </c>
      <c r="B44" s="11"/>
      <c r="C44" s="11"/>
      <c r="D44" s="12">
        <f>SUM(D39:D43)</f>
        <v>3427.603818181818</v>
      </c>
      <c r="E44" s="12">
        <f>SUM(E39:E43)</f>
        <v>3014.7819999999997</v>
      </c>
    </row>
    <row r="45" spans="1:9" x14ac:dyDescent="0.25">
      <c r="A45" s="2" t="s">
        <v>56</v>
      </c>
      <c r="B45" s="2"/>
      <c r="C45" s="2"/>
      <c r="D45" s="8">
        <f>D44/12</f>
        <v>285.63365151515148</v>
      </c>
      <c r="E45" s="8">
        <f>E44/12</f>
        <v>251.2318333333333</v>
      </c>
    </row>
    <row r="46" spans="1:9" x14ac:dyDescent="0.25">
      <c r="A46" s="2" t="s">
        <v>57</v>
      </c>
      <c r="B46" s="2"/>
      <c r="C46" s="2"/>
      <c r="D46" s="3">
        <f>(D44/3)/12</f>
        <v>95.211217171717166</v>
      </c>
      <c r="E46" s="3">
        <f>(E44/3)/12</f>
        <v>83.743944444444438</v>
      </c>
    </row>
    <row r="47" spans="1:9" x14ac:dyDescent="0.25">
      <c r="A47" s="11" t="s">
        <v>58</v>
      </c>
      <c r="B47" s="11"/>
      <c r="C47" s="11"/>
      <c r="D47" s="30">
        <f>D46+D45+D44</f>
        <v>3808.4486868686868</v>
      </c>
      <c r="E47" s="30">
        <f>E46+E45+E44</f>
        <v>3349.7577777777774</v>
      </c>
      <c r="F47" s="9" t="s">
        <v>59</v>
      </c>
      <c r="G47" s="9"/>
      <c r="H47" s="9"/>
      <c r="I47" s="29">
        <f>D39+D45+D46+E39+E45+E46</f>
        <v>5338.1551919191916</v>
      </c>
    </row>
    <row r="49" spans="1:9" ht="30" x14ac:dyDescent="0.25">
      <c r="A49" s="17" t="s">
        <v>29</v>
      </c>
      <c r="B49" s="79" t="s">
        <v>30</v>
      </c>
      <c r="C49" s="80"/>
      <c r="D49" s="80"/>
      <c r="E49" s="80"/>
      <c r="F49" s="80"/>
      <c r="G49" s="81"/>
      <c r="H49" s="18" t="s">
        <v>31</v>
      </c>
      <c r="I49" s="18" t="s">
        <v>32</v>
      </c>
    </row>
    <row r="50" spans="1:9" x14ac:dyDescent="0.25">
      <c r="A50" s="19" t="s">
        <v>33</v>
      </c>
      <c r="B50" s="76" t="s">
        <v>34</v>
      </c>
      <c r="C50" s="77"/>
      <c r="D50" s="77"/>
      <c r="E50" s="77"/>
      <c r="F50" s="77"/>
      <c r="G50" s="78"/>
      <c r="H50" s="20">
        <v>0.2</v>
      </c>
      <c r="I50" s="21">
        <f>$I$47*H50</f>
        <v>1067.6310383838384</v>
      </c>
    </row>
    <row r="51" spans="1:9" x14ac:dyDescent="0.25">
      <c r="A51" s="19" t="s">
        <v>35</v>
      </c>
      <c r="B51" s="76" t="s">
        <v>36</v>
      </c>
      <c r="C51" s="77"/>
      <c r="D51" s="77"/>
      <c r="E51" s="77"/>
      <c r="F51" s="77"/>
      <c r="G51" s="78"/>
      <c r="H51" s="20">
        <v>1.4999999999999999E-2</v>
      </c>
      <c r="I51" s="21">
        <f t="shared" ref="I51:I57" si="1">$I$47*H51</f>
        <v>80.072327878787874</v>
      </c>
    </row>
    <row r="52" spans="1:9" x14ac:dyDescent="0.25">
      <c r="A52" s="19" t="s">
        <v>37</v>
      </c>
      <c r="B52" s="76" t="s">
        <v>38</v>
      </c>
      <c r="C52" s="77"/>
      <c r="D52" s="77"/>
      <c r="E52" s="77"/>
      <c r="F52" s="77"/>
      <c r="G52" s="78"/>
      <c r="H52" s="20">
        <v>0.01</v>
      </c>
      <c r="I52" s="21">
        <f t="shared" si="1"/>
        <v>53.381551919191914</v>
      </c>
    </row>
    <row r="53" spans="1:9" x14ac:dyDescent="0.25">
      <c r="A53" s="19" t="s">
        <v>39</v>
      </c>
      <c r="B53" s="76" t="s">
        <v>40</v>
      </c>
      <c r="C53" s="77"/>
      <c r="D53" s="77"/>
      <c r="E53" s="77"/>
      <c r="F53" s="77"/>
      <c r="G53" s="78"/>
      <c r="H53" s="20">
        <v>2E-3</v>
      </c>
      <c r="I53" s="21">
        <f t="shared" si="1"/>
        <v>10.676310383838384</v>
      </c>
    </row>
    <row r="54" spans="1:9" x14ac:dyDescent="0.25">
      <c r="A54" s="19" t="s">
        <v>41</v>
      </c>
      <c r="B54" s="87" t="s">
        <v>42</v>
      </c>
      <c r="C54" s="88"/>
      <c r="D54" s="88"/>
      <c r="E54" s="88"/>
      <c r="F54" s="88"/>
      <c r="G54" s="89"/>
      <c r="H54" s="20">
        <v>2.5000000000000001E-2</v>
      </c>
      <c r="I54" s="21">
        <f t="shared" si="1"/>
        <v>133.45387979797979</v>
      </c>
    </row>
    <row r="55" spans="1:9" x14ac:dyDescent="0.25">
      <c r="A55" s="19" t="s">
        <v>43</v>
      </c>
      <c r="B55" s="87" t="s">
        <v>44</v>
      </c>
      <c r="C55" s="88"/>
      <c r="D55" s="88"/>
      <c r="E55" s="88"/>
      <c r="F55" s="88"/>
      <c r="G55" s="89"/>
      <c r="H55" s="22">
        <v>0.08</v>
      </c>
      <c r="I55" s="21">
        <f t="shared" si="1"/>
        <v>427.05241535353531</v>
      </c>
    </row>
    <row r="56" spans="1:9" x14ac:dyDescent="0.25">
      <c r="A56" s="19" t="s">
        <v>45</v>
      </c>
      <c r="B56" s="90" t="s">
        <v>46</v>
      </c>
      <c r="C56" s="91"/>
      <c r="D56" s="23" t="s">
        <v>47</v>
      </c>
      <c r="E56" s="24">
        <v>0.03</v>
      </c>
      <c r="F56" s="23" t="s">
        <v>48</v>
      </c>
      <c r="G56" s="25">
        <v>1</v>
      </c>
      <c r="H56" s="26">
        <f>ROUND((E56*G56),6)</f>
        <v>0.03</v>
      </c>
      <c r="I56" s="21">
        <f t="shared" si="1"/>
        <v>160.14465575757575</v>
      </c>
    </row>
    <row r="57" spans="1:9" x14ac:dyDescent="0.25">
      <c r="A57" s="19" t="s">
        <v>49</v>
      </c>
      <c r="B57" s="87" t="s">
        <v>50</v>
      </c>
      <c r="C57" s="88"/>
      <c r="D57" s="88"/>
      <c r="E57" s="88"/>
      <c r="F57" s="88"/>
      <c r="G57" s="89"/>
      <c r="H57" s="20">
        <v>6.0000000000000001E-3</v>
      </c>
      <c r="I57" s="21">
        <f t="shared" si="1"/>
        <v>32.028931151515152</v>
      </c>
    </row>
    <row r="58" spans="1:9" x14ac:dyDescent="0.25">
      <c r="A58" s="92" t="s">
        <v>51</v>
      </c>
      <c r="B58" s="93"/>
      <c r="C58" s="93"/>
      <c r="D58" s="93"/>
      <c r="E58" s="93"/>
      <c r="F58" s="93"/>
      <c r="G58" s="94"/>
      <c r="H58" s="27">
        <f>SUM(H50:H57)</f>
        <v>0.3680000000000001</v>
      </c>
      <c r="I58" s="28">
        <f>TRUNC(SUM(I50:I57),2)</f>
        <v>1964.44</v>
      </c>
    </row>
    <row r="60" spans="1:9" x14ac:dyDescent="0.25">
      <c r="A60" s="32" t="s">
        <v>63</v>
      </c>
      <c r="B60" s="2"/>
      <c r="C60" s="2"/>
      <c r="D60" s="2"/>
      <c r="E60" s="2"/>
      <c r="F60" s="2"/>
      <c r="G60" s="2"/>
      <c r="H60" s="2"/>
      <c r="I60" s="12">
        <f>D47+I58+E47</f>
        <v>9122.6464646464647</v>
      </c>
    </row>
    <row r="61" spans="1:9" x14ac:dyDescent="0.25">
      <c r="A61" s="33" t="s">
        <v>61</v>
      </c>
      <c r="B61" s="2"/>
      <c r="C61" s="2"/>
      <c r="D61" s="2"/>
      <c r="E61" s="2"/>
      <c r="F61" s="2"/>
      <c r="G61" s="2"/>
      <c r="H61" s="10">
        <v>1</v>
      </c>
      <c r="I61" s="12">
        <f>I60*H61</f>
        <v>9122.6464646464647</v>
      </c>
    </row>
    <row r="65" spans="1:1" x14ac:dyDescent="0.25">
      <c r="A65" s="34" t="s">
        <v>64</v>
      </c>
    </row>
    <row r="66" spans="1:1" x14ac:dyDescent="0.25">
      <c r="A66" s="35" t="s">
        <v>65</v>
      </c>
    </row>
    <row r="67" spans="1:1" x14ac:dyDescent="0.25">
      <c r="A67" s="35" t="s">
        <v>66</v>
      </c>
    </row>
    <row r="68" spans="1:1" x14ac:dyDescent="0.25">
      <c r="A68" s="35" t="s">
        <v>67</v>
      </c>
    </row>
    <row r="69" spans="1:1" x14ac:dyDescent="0.25">
      <c r="A69" s="35" t="s">
        <v>68</v>
      </c>
    </row>
    <row r="70" spans="1:1" x14ac:dyDescent="0.25">
      <c r="A70" s="35"/>
    </row>
    <row r="71" spans="1:1" x14ac:dyDescent="0.25">
      <c r="A71" s="35"/>
    </row>
    <row r="72" spans="1:1" x14ac:dyDescent="0.25">
      <c r="A72" s="35"/>
    </row>
    <row r="73" spans="1:1" x14ac:dyDescent="0.25">
      <c r="A73" s="36" t="s">
        <v>69</v>
      </c>
    </row>
    <row r="74" spans="1:1" x14ac:dyDescent="0.25">
      <c r="A74" s="37" t="s">
        <v>70</v>
      </c>
    </row>
    <row r="75" spans="1:1" x14ac:dyDescent="0.25">
      <c r="A75" s="37" t="s">
        <v>71</v>
      </c>
    </row>
    <row r="76" spans="1:1" x14ac:dyDescent="0.25">
      <c r="A76" s="37" t="s">
        <v>72</v>
      </c>
    </row>
    <row r="77" spans="1:1" x14ac:dyDescent="0.25">
      <c r="A77" s="37" t="s">
        <v>73</v>
      </c>
    </row>
    <row r="78" spans="1:1" x14ac:dyDescent="0.25">
      <c r="A78" s="37" t="s">
        <v>74</v>
      </c>
    </row>
    <row r="79" spans="1:1" x14ac:dyDescent="0.25">
      <c r="A79" s="37" t="s">
        <v>75</v>
      </c>
    </row>
    <row r="80" spans="1:1" x14ac:dyDescent="0.25">
      <c r="A80" s="38" t="s">
        <v>76</v>
      </c>
    </row>
    <row r="83" spans="1:1" x14ac:dyDescent="0.25">
      <c r="A83" s="42" t="s">
        <v>98</v>
      </c>
    </row>
    <row r="84" spans="1:1" x14ac:dyDescent="0.25">
      <c r="A84" s="37" t="s">
        <v>99</v>
      </c>
    </row>
    <row r="85" spans="1:1" x14ac:dyDescent="0.25">
      <c r="A85" s="37" t="s">
        <v>100</v>
      </c>
    </row>
    <row r="86" spans="1:1" x14ac:dyDescent="0.25">
      <c r="A86" s="37" t="s">
        <v>101</v>
      </c>
    </row>
    <row r="87" spans="1:1" x14ac:dyDescent="0.25">
      <c r="A87" s="37" t="s">
        <v>102</v>
      </c>
    </row>
    <row r="88" spans="1:1" x14ac:dyDescent="0.25">
      <c r="A88" s="37" t="s">
        <v>103</v>
      </c>
    </row>
    <row r="89" spans="1:1" x14ac:dyDescent="0.25">
      <c r="A89" s="37"/>
    </row>
    <row r="90" spans="1:1" x14ac:dyDescent="0.25">
      <c r="A90" s="37" t="s">
        <v>153</v>
      </c>
    </row>
    <row r="112" spans="5:5" x14ac:dyDescent="0.25">
      <c r="E112" s="57">
        <f>C112*6</f>
        <v>0</v>
      </c>
    </row>
    <row r="113" spans="1:6" x14ac:dyDescent="0.25">
      <c r="A113" s="95" t="s">
        <v>129</v>
      </c>
      <c r="B113" s="95"/>
      <c r="C113" s="95"/>
      <c r="D113" s="95"/>
      <c r="E113" s="95"/>
      <c r="F113" s="95"/>
    </row>
    <row r="129" spans="1:1" x14ac:dyDescent="0.25">
      <c r="A129" t="s">
        <v>94</v>
      </c>
    </row>
    <row r="130" spans="1:1" x14ac:dyDescent="0.25">
      <c r="A130" t="s">
        <v>95</v>
      </c>
    </row>
    <row r="148" spans="1:4" ht="78" customHeight="1" x14ac:dyDescent="0.25">
      <c r="A148" s="84" t="s">
        <v>141</v>
      </c>
      <c r="B148" s="85"/>
      <c r="C148" s="85"/>
      <c r="D148" s="86"/>
    </row>
    <row r="149" spans="1:4" x14ac:dyDescent="0.25">
      <c r="A149" s="46"/>
      <c r="B149" s="47"/>
      <c r="C149" s="47"/>
      <c r="D149" s="49"/>
    </row>
    <row r="150" spans="1:4" x14ac:dyDescent="0.25">
      <c r="A150" s="46"/>
      <c r="B150" s="47"/>
      <c r="C150" s="47"/>
      <c r="D150" s="49"/>
    </row>
    <row r="151" spans="1:4" x14ac:dyDescent="0.25">
      <c r="A151" s="46"/>
      <c r="B151" s="47"/>
      <c r="C151" s="47"/>
      <c r="D151" s="49"/>
    </row>
    <row r="152" spans="1:4" x14ac:dyDescent="0.25">
      <c r="A152" s="50" t="s">
        <v>142</v>
      </c>
      <c r="B152" s="51"/>
      <c r="C152" s="51"/>
      <c r="D152" s="52"/>
    </row>
    <row r="154" spans="1:4" x14ac:dyDescent="0.25">
      <c r="C154" s="56"/>
    </row>
    <row r="155" spans="1:4" x14ac:dyDescent="0.25">
      <c r="C155" s="56"/>
    </row>
    <row r="156" spans="1:4" x14ac:dyDescent="0.25">
      <c r="C156" s="56"/>
    </row>
    <row r="178" spans="1:1" x14ac:dyDescent="0.25">
      <c r="A178" t="s">
        <v>106</v>
      </c>
    </row>
  </sheetData>
  <mergeCells count="16">
    <mergeCell ref="L22:P22"/>
    <mergeCell ref="A148:D148"/>
    <mergeCell ref="A113:F113"/>
    <mergeCell ref="B53:G53"/>
    <mergeCell ref="B54:G54"/>
    <mergeCell ref="B55:G55"/>
    <mergeCell ref="B56:C56"/>
    <mergeCell ref="B57:G57"/>
    <mergeCell ref="A58:G58"/>
    <mergeCell ref="B52:G52"/>
    <mergeCell ref="A1:F1"/>
    <mergeCell ref="B49:G49"/>
    <mergeCell ref="B50:G50"/>
    <mergeCell ref="B51:G51"/>
    <mergeCell ref="E7:H7"/>
    <mergeCell ref="A34:E34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9"/>
  <sheetViews>
    <sheetView workbookViewId="0">
      <selection activeCell="B15" sqref="B15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25.42578125" customWidth="1"/>
    <col min="8" max="8" width="9.85546875" customWidth="1"/>
    <col min="9" max="9" width="9.5703125" bestFit="1" customWidth="1"/>
    <col min="11" max="11" width="16.42578125" customWidth="1"/>
    <col min="12" max="12" width="16" customWidth="1"/>
    <col min="13" max="13" width="16.28515625" customWidth="1"/>
    <col min="14" max="14" width="17" customWidth="1"/>
    <col min="15" max="15" width="16" customWidth="1"/>
  </cols>
  <sheetData>
    <row r="1" spans="1:8" x14ac:dyDescent="0.25">
      <c r="A1" s="83" t="s">
        <v>7</v>
      </c>
      <c r="B1" s="83"/>
      <c r="C1" s="83"/>
      <c r="D1" s="83"/>
      <c r="E1" s="83"/>
      <c r="F1" s="83"/>
    </row>
    <row r="2" spans="1:8" x14ac:dyDescent="0.25">
      <c r="A2" s="59" t="s">
        <v>147</v>
      </c>
      <c r="B2" s="59"/>
      <c r="C2" s="59"/>
      <c r="D2" s="59"/>
      <c r="E2" s="59"/>
      <c r="F2" s="59"/>
    </row>
    <row r="3" spans="1:8" x14ac:dyDescent="0.25">
      <c r="A3" s="59"/>
      <c r="B3" s="39" t="s">
        <v>77</v>
      </c>
      <c r="C3" s="59"/>
      <c r="D3" s="59">
        <v>184</v>
      </c>
      <c r="E3" s="59"/>
      <c r="F3" s="59"/>
    </row>
    <row r="4" spans="1:8" x14ac:dyDescent="0.25">
      <c r="A4" s="59"/>
      <c r="B4" s="39" t="s">
        <v>78</v>
      </c>
      <c r="C4" s="59"/>
      <c r="D4" s="59">
        <v>24</v>
      </c>
      <c r="E4" s="59"/>
      <c r="F4" s="59"/>
    </row>
    <row r="5" spans="1:8" x14ac:dyDescent="0.25">
      <c r="A5" s="9" t="s">
        <v>149</v>
      </c>
      <c r="B5" t="s">
        <v>23</v>
      </c>
      <c r="D5">
        <f>D3*D4</f>
        <v>4416</v>
      </c>
    </row>
    <row r="6" spans="1:8" x14ac:dyDescent="0.25">
      <c r="B6" t="s">
        <v>110</v>
      </c>
      <c r="D6">
        <f>D5*10</f>
        <v>44160</v>
      </c>
    </row>
    <row r="7" spans="1:8" ht="57.6" customHeight="1" x14ac:dyDescent="0.25">
      <c r="A7" s="59" t="s">
        <v>9</v>
      </c>
      <c r="B7" s="6">
        <v>161600</v>
      </c>
      <c r="C7" s="59"/>
      <c r="D7" s="59"/>
      <c r="E7" s="96" t="s">
        <v>104</v>
      </c>
      <c r="F7" s="96"/>
      <c r="G7" s="96"/>
    </row>
    <row r="8" spans="1:8" x14ac:dyDescent="0.25">
      <c r="A8" s="59" t="s">
        <v>124</v>
      </c>
      <c r="B8" s="6">
        <f>B7*30%</f>
        <v>48480</v>
      </c>
      <c r="C8" s="59"/>
      <c r="D8" s="59"/>
      <c r="E8" s="39" t="s">
        <v>91</v>
      </c>
      <c r="F8" s="59"/>
    </row>
    <row r="9" spans="1:8" x14ac:dyDescent="0.25">
      <c r="A9" s="59" t="s">
        <v>10</v>
      </c>
      <c r="B9" s="6">
        <f>B7-B8</f>
        <v>113120</v>
      </c>
      <c r="C9" s="59"/>
      <c r="D9" s="59"/>
      <c r="E9" s="59"/>
      <c r="F9" s="59"/>
    </row>
    <row r="10" spans="1:8" x14ac:dyDescent="0.25">
      <c r="A10" s="59" t="s">
        <v>11</v>
      </c>
      <c r="B10" s="6">
        <v>60</v>
      </c>
      <c r="C10" s="6">
        <f>B9/B10</f>
        <v>1885.3333333333333</v>
      </c>
      <c r="D10" s="59"/>
      <c r="E10" s="39" t="s">
        <v>90</v>
      </c>
      <c r="F10" s="59"/>
    </row>
    <row r="11" spans="1:8" x14ac:dyDescent="0.25">
      <c r="A11" s="59" t="s">
        <v>13</v>
      </c>
      <c r="B11" s="14">
        <v>0.15</v>
      </c>
      <c r="C11" s="7">
        <f>B7*B11/12</f>
        <v>2020</v>
      </c>
      <c r="D11" s="59"/>
      <c r="E11" s="39" t="s">
        <v>105</v>
      </c>
      <c r="F11" s="59"/>
    </row>
    <row r="13" spans="1:8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8" ht="72" customHeight="1" x14ac:dyDescent="0.25">
      <c r="A14" s="2" t="s">
        <v>2</v>
      </c>
      <c r="B14" s="2">
        <v>7.29</v>
      </c>
      <c r="C14" s="2">
        <v>6</v>
      </c>
      <c r="D14" s="3">
        <f t="shared" ref="D14:D23" si="0">B14/C14</f>
        <v>1.2150000000000001</v>
      </c>
      <c r="E14" s="97" t="s">
        <v>84</v>
      </c>
      <c r="F14" s="98"/>
      <c r="G14" s="98"/>
      <c r="H14" s="98"/>
    </row>
    <row r="15" spans="1:8" ht="51.6" customHeight="1" x14ac:dyDescent="0.25">
      <c r="A15" s="2" t="s">
        <v>6</v>
      </c>
      <c r="B15" s="3">
        <v>500</v>
      </c>
      <c r="C15" s="2">
        <f>D5</f>
        <v>4416</v>
      </c>
      <c r="D15" s="3">
        <f t="shared" si="0"/>
        <v>0.11322463768115942</v>
      </c>
      <c r="E15" s="97" t="s">
        <v>96</v>
      </c>
      <c r="F15" s="98"/>
      <c r="G15" s="98"/>
      <c r="H15" s="98"/>
    </row>
    <row r="16" spans="1:8" x14ac:dyDescent="0.25">
      <c r="A16" s="2" t="s">
        <v>20</v>
      </c>
      <c r="B16" s="3"/>
      <c r="C16" s="2">
        <f>C15*12</f>
        <v>52992</v>
      </c>
      <c r="D16" s="3">
        <f t="shared" si="0"/>
        <v>0</v>
      </c>
    </row>
    <row r="17" spans="1:15" x14ac:dyDescent="0.25">
      <c r="A17" s="2" t="s">
        <v>3</v>
      </c>
      <c r="B17" s="3">
        <v>700</v>
      </c>
      <c r="C17" s="2">
        <f>C15</f>
        <v>4416</v>
      </c>
      <c r="D17" s="3">
        <f t="shared" si="0"/>
        <v>0.1585144927536232</v>
      </c>
      <c r="E17" t="s">
        <v>85</v>
      </c>
    </row>
    <row r="18" spans="1:15" x14ac:dyDescent="0.25">
      <c r="A18" s="2" t="s">
        <v>28</v>
      </c>
      <c r="B18" s="3">
        <v>3511.88</v>
      </c>
      <c r="C18" s="2">
        <v>40000</v>
      </c>
      <c r="D18" s="3">
        <f t="shared" si="0"/>
        <v>8.7797E-2</v>
      </c>
      <c r="E18" t="s">
        <v>92</v>
      </c>
    </row>
    <row r="19" spans="1:15" x14ac:dyDescent="0.25">
      <c r="A19" s="2" t="s">
        <v>109</v>
      </c>
      <c r="B19" s="3">
        <v>63.4</v>
      </c>
      <c r="C19" s="2">
        <f>C20</f>
        <v>4416</v>
      </c>
      <c r="D19" s="3">
        <f>B19/C19</f>
        <v>1.4356884057971014E-2</v>
      </c>
      <c r="E19" t="s">
        <v>108</v>
      </c>
    </row>
    <row r="20" spans="1:15" x14ac:dyDescent="0.25">
      <c r="A20" s="2" t="s">
        <v>26</v>
      </c>
      <c r="B20" s="3">
        <v>250</v>
      </c>
      <c r="C20" s="2">
        <f>C17</f>
        <v>4416</v>
      </c>
      <c r="D20" s="3">
        <f t="shared" si="0"/>
        <v>5.6612318840579712E-2</v>
      </c>
      <c r="E20" t="s">
        <v>97</v>
      </c>
    </row>
    <row r="21" spans="1:15" x14ac:dyDescent="0.25">
      <c r="A21" s="2" t="s">
        <v>4</v>
      </c>
      <c r="B21" s="3">
        <f>I61</f>
        <v>9122.6464646464647</v>
      </c>
      <c r="C21" s="2">
        <f>C17</f>
        <v>4416</v>
      </c>
      <c r="D21" s="3">
        <f t="shared" si="0"/>
        <v>2.0658166813058116</v>
      </c>
      <c r="E21" t="s">
        <v>86</v>
      </c>
    </row>
    <row r="22" spans="1:15" x14ac:dyDescent="0.25">
      <c r="A22" s="2" t="s">
        <v>12</v>
      </c>
      <c r="B22" s="3">
        <f>C10</f>
        <v>1885.3333333333333</v>
      </c>
      <c r="C22" s="2">
        <f>C21</f>
        <v>4416</v>
      </c>
      <c r="D22" s="3">
        <f t="shared" si="0"/>
        <v>0.42693236714975846</v>
      </c>
      <c r="E22" t="s">
        <v>89</v>
      </c>
    </row>
    <row r="23" spans="1:15" x14ac:dyDescent="0.25">
      <c r="A23" s="2" t="s">
        <v>14</v>
      </c>
      <c r="B23" s="8">
        <f>C11</f>
        <v>2020</v>
      </c>
      <c r="C23" s="2">
        <f>C22</f>
        <v>4416</v>
      </c>
      <c r="D23" s="3">
        <f t="shared" si="0"/>
        <v>0.45742753623188404</v>
      </c>
      <c r="E23" t="s">
        <v>89</v>
      </c>
    </row>
    <row r="24" spans="1:15" x14ac:dyDescent="0.25">
      <c r="A24" s="4" t="s">
        <v>24</v>
      </c>
      <c r="B24" s="4"/>
      <c r="C24" s="4" t="s">
        <v>5</v>
      </c>
      <c r="D24" s="5">
        <f>SUM(D14:D23)</f>
        <v>4.5956819180207873</v>
      </c>
    </row>
    <row r="25" spans="1:15" x14ac:dyDescent="0.25">
      <c r="K25" s="99" t="s">
        <v>156</v>
      </c>
      <c r="L25" s="100"/>
      <c r="M25" s="100"/>
      <c r="N25" s="100"/>
      <c r="O25" s="101"/>
    </row>
    <row r="26" spans="1:15" x14ac:dyDescent="0.25">
      <c r="A26" s="2" t="s">
        <v>17</v>
      </c>
      <c r="B26" s="2"/>
      <c r="C26" s="10">
        <v>0.1</v>
      </c>
      <c r="D26" s="8">
        <f>D24*C26</f>
        <v>0.45956819180207875</v>
      </c>
      <c r="E26" t="s">
        <v>88</v>
      </c>
      <c r="K26" s="102" t="s">
        <v>157</v>
      </c>
      <c r="L26" s="102" t="s">
        <v>160</v>
      </c>
      <c r="M26" s="102" t="s">
        <v>161</v>
      </c>
      <c r="N26" s="102" t="s">
        <v>158</v>
      </c>
      <c r="O26" s="102" t="s">
        <v>159</v>
      </c>
    </row>
    <row r="27" spans="1:15" x14ac:dyDescent="0.25">
      <c r="A27" s="2" t="s">
        <v>18</v>
      </c>
      <c r="B27" s="2"/>
      <c r="C27" s="10">
        <v>0.1</v>
      </c>
      <c r="D27" s="8">
        <f>D24*C27</f>
        <v>0.45956819180207875</v>
      </c>
      <c r="E27" t="s">
        <v>88</v>
      </c>
      <c r="K27" s="103">
        <f>D31</f>
        <v>5.8815537186830031</v>
      </c>
      <c r="L27" s="104">
        <f>D3</f>
        <v>184</v>
      </c>
      <c r="M27" s="103">
        <f>K27*L27</f>
        <v>1082.2058842376725</v>
      </c>
      <c r="N27" s="2">
        <v>200</v>
      </c>
      <c r="O27" s="103">
        <f>M27*N27</f>
        <v>216441.17684753452</v>
      </c>
    </row>
    <row r="28" spans="1:15" x14ac:dyDescent="0.25">
      <c r="A28" s="11" t="s">
        <v>15</v>
      </c>
      <c r="B28" s="11"/>
      <c r="C28" s="11"/>
      <c r="D28" s="12">
        <f>D27+D26+D24</f>
        <v>5.5148183016249446</v>
      </c>
    </row>
    <row r="29" spans="1:15" x14ac:dyDescent="0.25">
      <c r="A29" s="2" t="s">
        <v>16</v>
      </c>
      <c r="B29" s="2"/>
      <c r="C29" s="13">
        <v>6.6500000000000004E-2</v>
      </c>
      <c r="D29" s="8">
        <f>D28*C29</f>
        <v>0.36673541705805884</v>
      </c>
      <c r="E29" t="s">
        <v>87</v>
      </c>
    </row>
    <row r="30" spans="1:15" x14ac:dyDescent="0.25">
      <c r="A30" s="2" t="s">
        <v>19</v>
      </c>
      <c r="B30" s="2"/>
      <c r="C30" s="10"/>
      <c r="D30" s="8"/>
    </row>
    <row r="31" spans="1:15" x14ac:dyDescent="0.25">
      <c r="A31" s="11" t="s">
        <v>25</v>
      </c>
      <c r="B31" s="11"/>
      <c r="C31" s="11"/>
      <c r="D31" s="12">
        <f>D28+D29</f>
        <v>5.8815537186830031</v>
      </c>
    </row>
    <row r="32" spans="1:15" x14ac:dyDescent="0.25">
      <c r="A32" s="15" t="s">
        <v>27</v>
      </c>
      <c r="B32" s="2"/>
      <c r="C32" s="2">
        <f>D5</f>
        <v>4416</v>
      </c>
      <c r="D32" s="8">
        <f>D31*C32</f>
        <v>25972.941221704143</v>
      </c>
    </row>
    <row r="34" spans="1:9" ht="50.25" customHeight="1" x14ac:dyDescent="0.25">
      <c r="A34" s="82" t="s">
        <v>152</v>
      </c>
      <c r="B34" s="82"/>
      <c r="C34" s="82"/>
      <c r="D34" s="82"/>
      <c r="E34" s="82"/>
    </row>
    <row r="35" spans="1:9" x14ac:dyDescent="0.25">
      <c r="A35" s="9" t="s">
        <v>62</v>
      </c>
      <c r="C35" s="71" t="s">
        <v>154</v>
      </c>
      <c r="D35" s="16"/>
      <c r="E35" s="71" t="s">
        <v>155</v>
      </c>
    </row>
    <row r="36" spans="1:9" x14ac:dyDescent="0.25">
      <c r="A36" s="11" t="s">
        <v>79</v>
      </c>
      <c r="B36" s="2"/>
      <c r="C36" s="3">
        <v>2448.1</v>
      </c>
      <c r="D36" s="8">
        <v>220</v>
      </c>
      <c r="E36" s="2">
        <v>1789.04</v>
      </c>
    </row>
    <row r="37" spans="1:9" x14ac:dyDescent="0.25">
      <c r="A37" s="2" t="s">
        <v>80</v>
      </c>
      <c r="B37" s="2"/>
      <c r="C37" s="3">
        <f>C36/D36*200</f>
        <v>2225.5454545454545</v>
      </c>
      <c r="D37" s="8"/>
      <c r="E37" s="69">
        <f>E36/D36*200</f>
        <v>1626.3999999999999</v>
      </c>
    </row>
    <row r="38" spans="1:9" x14ac:dyDescent="0.25">
      <c r="A38" s="2" t="s">
        <v>52</v>
      </c>
      <c r="B38" s="10">
        <v>0.2</v>
      </c>
      <c r="C38" s="8">
        <f>C37*B38</f>
        <v>445.10909090909092</v>
      </c>
      <c r="D38" s="2"/>
      <c r="E38" s="69">
        <f>E37*B38</f>
        <v>325.27999999999997</v>
      </c>
    </row>
    <row r="39" spans="1:9" x14ac:dyDescent="0.25">
      <c r="A39" s="31" t="s">
        <v>60</v>
      </c>
      <c r="B39" s="10"/>
      <c r="C39" s="8"/>
      <c r="D39" s="12">
        <f>C38+C37</f>
        <v>2670.6545454545453</v>
      </c>
      <c r="E39" s="70">
        <f>SUM(E37:E38)</f>
        <v>1951.6799999999998</v>
      </c>
    </row>
    <row r="40" spans="1:9" x14ac:dyDescent="0.25">
      <c r="A40" s="2" t="s">
        <v>53</v>
      </c>
      <c r="B40" s="2">
        <v>20</v>
      </c>
      <c r="C40" s="3">
        <v>9.4</v>
      </c>
      <c r="D40" s="3">
        <f>C40*B40</f>
        <v>188</v>
      </c>
      <c r="E40" s="8">
        <f>D40</f>
        <v>188</v>
      </c>
    </row>
    <row r="41" spans="1:9" x14ac:dyDescent="0.25">
      <c r="A41" s="2" t="s">
        <v>54</v>
      </c>
      <c r="B41" s="2">
        <v>1</v>
      </c>
      <c r="C41" s="3">
        <v>740</v>
      </c>
      <c r="D41" s="3">
        <f>B41*C41</f>
        <v>740</v>
      </c>
      <c r="E41" s="8">
        <f>D41</f>
        <v>740</v>
      </c>
    </row>
    <row r="42" spans="1:9" x14ac:dyDescent="0.25">
      <c r="A42" s="2" t="s">
        <v>81</v>
      </c>
      <c r="B42" s="2"/>
      <c r="C42" s="63">
        <v>5.0700000000000002E-2</v>
      </c>
      <c r="D42" s="3">
        <f>-D41*C42</f>
        <v>-37.518000000000001</v>
      </c>
      <c r="E42" s="69">
        <f>E41*C42</f>
        <v>37.518000000000001</v>
      </c>
    </row>
    <row r="43" spans="1:9" x14ac:dyDescent="0.25">
      <c r="A43" s="2" t="s">
        <v>82</v>
      </c>
      <c r="B43" s="2"/>
      <c r="C43" s="63">
        <v>0.06</v>
      </c>
      <c r="D43" s="3">
        <f>-C37*C43</f>
        <v>-133.53272727272727</v>
      </c>
      <c r="E43" s="8">
        <f>E37*C43</f>
        <v>97.583999999999989</v>
      </c>
    </row>
    <row r="44" spans="1:9" x14ac:dyDescent="0.25">
      <c r="A44" s="11" t="s">
        <v>55</v>
      </c>
      <c r="B44" s="11"/>
      <c r="C44" s="11"/>
      <c r="D44" s="12">
        <f>SUM(D39:D43)</f>
        <v>3427.603818181818</v>
      </c>
      <c r="E44" s="12">
        <f>SUM(E39:E43)</f>
        <v>3014.7819999999997</v>
      </c>
    </row>
    <row r="45" spans="1:9" x14ac:dyDescent="0.25">
      <c r="A45" s="2" t="s">
        <v>56</v>
      </c>
      <c r="B45" s="2"/>
      <c r="C45" s="2"/>
      <c r="D45" s="8">
        <f>D44/12</f>
        <v>285.63365151515148</v>
      </c>
      <c r="E45" s="8">
        <f>E44/12</f>
        <v>251.2318333333333</v>
      </c>
    </row>
    <row r="46" spans="1:9" x14ac:dyDescent="0.25">
      <c r="A46" s="2" t="s">
        <v>57</v>
      </c>
      <c r="B46" s="2"/>
      <c r="C46" s="2"/>
      <c r="D46" s="3">
        <f>(D44/3)/12</f>
        <v>95.211217171717166</v>
      </c>
      <c r="E46" s="3">
        <f>(E44/3)/12</f>
        <v>83.743944444444438</v>
      </c>
    </row>
    <row r="47" spans="1:9" x14ac:dyDescent="0.25">
      <c r="A47" s="11" t="s">
        <v>58</v>
      </c>
      <c r="B47" s="11"/>
      <c r="C47" s="11"/>
      <c r="D47" s="30">
        <f>D46+D45+D44</f>
        <v>3808.4486868686868</v>
      </c>
      <c r="E47" s="30">
        <f>E46+E45+E44</f>
        <v>3349.7577777777774</v>
      </c>
      <c r="F47" s="9" t="s">
        <v>59</v>
      </c>
      <c r="G47" s="9"/>
      <c r="H47" s="9"/>
      <c r="I47" s="29">
        <f>D39+D45+D46+E39+E45+E46</f>
        <v>5338.1551919191916</v>
      </c>
    </row>
    <row r="49" spans="1:9" ht="30" x14ac:dyDescent="0.25">
      <c r="A49" s="17" t="s">
        <v>29</v>
      </c>
      <c r="B49" s="79" t="s">
        <v>30</v>
      </c>
      <c r="C49" s="80"/>
      <c r="D49" s="80"/>
      <c r="E49" s="80"/>
      <c r="F49" s="80"/>
      <c r="G49" s="81"/>
      <c r="H49" s="18" t="s">
        <v>31</v>
      </c>
      <c r="I49" s="18" t="s">
        <v>32</v>
      </c>
    </row>
    <row r="50" spans="1:9" x14ac:dyDescent="0.25">
      <c r="A50" s="19" t="s">
        <v>33</v>
      </c>
      <c r="B50" s="76" t="s">
        <v>34</v>
      </c>
      <c r="C50" s="77"/>
      <c r="D50" s="77"/>
      <c r="E50" s="77"/>
      <c r="F50" s="77"/>
      <c r="G50" s="78"/>
      <c r="H50" s="20">
        <v>0.2</v>
      </c>
      <c r="I50" s="21">
        <f>$I$47*H50</f>
        <v>1067.6310383838384</v>
      </c>
    </row>
    <row r="51" spans="1:9" x14ac:dyDescent="0.25">
      <c r="A51" s="19" t="s">
        <v>35</v>
      </c>
      <c r="B51" s="76" t="s">
        <v>36</v>
      </c>
      <c r="C51" s="77"/>
      <c r="D51" s="77"/>
      <c r="E51" s="77"/>
      <c r="F51" s="77"/>
      <c r="G51" s="78"/>
      <c r="H51" s="20">
        <v>1.4999999999999999E-2</v>
      </c>
      <c r="I51" s="21">
        <f t="shared" ref="I51:I57" si="1">$I$47*H51</f>
        <v>80.072327878787874</v>
      </c>
    </row>
    <row r="52" spans="1:9" x14ac:dyDescent="0.25">
      <c r="A52" s="19" t="s">
        <v>37</v>
      </c>
      <c r="B52" s="76" t="s">
        <v>38</v>
      </c>
      <c r="C52" s="77"/>
      <c r="D52" s="77"/>
      <c r="E52" s="77"/>
      <c r="F52" s="77"/>
      <c r="G52" s="78"/>
      <c r="H52" s="20">
        <v>0.01</v>
      </c>
      <c r="I52" s="21">
        <f t="shared" si="1"/>
        <v>53.381551919191914</v>
      </c>
    </row>
    <row r="53" spans="1:9" x14ac:dyDescent="0.25">
      <c r="A53" s="19" t="s">
        <v>39</v>
      </c>
      <c r="B53" s="76" t="s">
        <v>40</v>
      </c>
      <c r="C53" s="77"/>
      <c r="D53" s="77"/>
      <c r="E53" s="77"/>
      <c r="F53" s="77"/>
      <c r="G53" s="78"/>
      <c r="H53" s="20">
        <v>2E-3</v>
      </c>
      <c r="I53" s="21">
        <f t="shared" si="1"/>
        <v>10.676310383838384</v>
      </c>
    </row>
    <row r="54" spans="1:9" x14ac:dyDescent="0.25">
      <c r="A54" s="19" t="s">
        <v>41</v>
      </c>
      <c r="B54" s="87" t="s">
        <v>42</v>
      </c>
      <c r="C54" s="88"/>
      <c r="D54" s="88"/>
      <c r="E54" s="88"/>
      <c r="F54" s="88"/>
      <c r="G54" s="89"/>
      <c r="H54" s="20">
        <v>2.5000000000000001E-2</v>
      </c>
      <c r="I54" s="21">
        <f t="shared" si="1"/>
        <v>133.45387979797979</v>
      </c>
    </row>
    <row r="55" spans="1:9" x14ac:dyDescent="0.25">
      <c r="A55" s="19" t="s">
        <v>43</v>
      </c>
      <c r="B55" s="87" t="s">
        <v>44</v>
      </c>
      <c r="C55" s="88"/>
      <c r="D55" s="88"/>
      <c r="E55" s="88"/>
      <c r="F55" s="88"/>
      <c r="G55" s="89"/>
      <c r="H55" s="22">
        <v>0.08</v>
      </c>
      <c r="I55" s="21">
        <f t="shared" si="1"/>
        <v>427.05241535353531</v>
      </c>
    </row>
    <row r="56" spans="1:9" x14ac:dyDescent="0.25">
      <c r="A56" s="19" t="s">
        <v>45</v>
      </c>
      <c r="B56" s="90" t="s">
        <v>46</v>
      </c>
      <c r="C56" s="91"/>
      <c r="D56" s="23" t="s">
        <v>47</v>
      </c>
      <c r="E56" s="24">
        <v>0.03</v>
      </c>
      <c r="F56" s="23" t="s">
        <v>48</v>
      </c>
      <c r="G56" s="25">
        <v>1</v>
      </c>
      <c r="H56" s="26">
        <f>ROUND((E56*G56),6)</f>
        <v>0.03</v>
      </c>
      <c r="I56" s="21">
        <f t="shared" si="1"/>
        <v>160.14465575757575</v>
      </c>
    </row>
    <row r="57" spans="1:9" x14ac:dyDescent="0.25">
      <c r="A57" s="19" t="s">
        <v>49</v>
      </c>
      <c r="B57" s="87" t="s">
        <v>50</v>
      </c>
      <c r="C57" s="88"/>
      <c r="D57" s="88"/>
      <c r="E57" s="88"/>
      <c r="F57" s="88"/>
      <c r="G57" s="89"/>
      <c r="H57" s="20">
        <v>6.0000000000000001E-3</v>
      </c>
      <c r="I57" s="21">
        <f t="shared" si="1"/>
        <v>32.028931151515152</v>
      </c>
    </row>
    <row r="58" spans="1:9" x14ac:dyDescent="0.25">
      <c r="A58" s="92" t="s">
        <v>51</v>
      </c>
      <c r="B58" s="93"/>
      <c r="C58" s="93"/>
      <c r="D58" s="93"/>
      <c r="E58" s="93"/>
      <c r="F58" s="93"/>
      <c r="G58" s="94"/>
      <c r="H58" s="27">
        <f>SUM(H50:H57)</f>
        <v>0.3680000000000001</v>
      </c>
      <c r="I58" s="28">
        <f>TRUNC(SUM(I50:I57),2)</f>
        <v>1964.44</v>
      </c>
    </row>
    <row r="60" spans="1:9" x14ac:dyDescent="0.25">
      <c r="A60" s="32" t="s">
        <v>63</v>
      </c>
      <c r="B60" s="2"/>
      <c r="C60" s="2"/>
      <c r="D60" s="2"/>
      <c r="E60" s="2"/>
      <c r="F60" s="2"/>
      <c r="G60" s="2"/>
      <c r="H60" s="2"/>
      <c r="I60" s="12">
        <f>D47+I58+E47</f>
        <v>9122.6464646464647</v>
      </c>
    </row>
    <row r="61" spans="1:9" x14ac:dyDescent="0.25">
      <c r="A61" s="33" t="s">
        <v>61</v>
      </c>
      <c r="B61" s="2"/>
      <c r="C61" s="2"/>
      <c r="D61" s="2"/>
      <c r="E61" s="2"/>
      <c r="F61" s="2"/>
      <c r="G61" s="2"/>
      <c r="H61" s="10">
        <v>1</v>
      </c>
      <c r="I61" s="12">
        <f>I60*H61</f>
        <v>9122.6464646464647</v>
      </c>
    </row>
    <row r="65" spans="1:1" x14ac:dyDescent="0.25">
      <c r="A65" s="34" t="s">
        <v>64</v>
      </c>
    </row>
    <row r="66" spans="1:1" x14ac:dyDescent="0.25">
      <c r="A66" s="35" t="s">
        <v>65</v>
      </c>
    </row>
    <row r="67" spans="1:1" x14ac:dyDescent="0.25">
      <c r="A67" s="35" t="s">
        <v>66</v>
      </c>
    </row>
    <row r="68" spans="1:1" x14ac:dyDescent="0.25">
      <c r="A68" s="35" t="s">
        <v>67</v>
      </c>
    </row>
    <row r="69" spans="1:1" x14ac:dyDescent="0.25">
      <c r="A69" s="35" t="s">
        <v>68</v>
      </c>
    </row>
    <row r="70" spans="1:1" x14ac:dyDescent="0.25">
      <c r="A70" s="35"/>
    </row>
    <row r="71" spans="1:1" x14ac:dyDescent="0.25">
      <c r="A71" s="35"/>
    </row>
    <row r="72" spans="1:1" x14ac:dyDescent="0.25">
      <c r="A72" s="35"/>
    </row>
    <row r="73" spans="1:1" x14ac:dyDescent="0.25">
      <c r="A73" s="36" t="s">
        <v>69</v>
      </c>
    </row>
    <row r="74" spans="1:1" x14ac:dyDescent="0.25">
      <c r="A74" s="37" t="s">
        <v>70</v>
      </c>
    </row>
    <row r="75" spans="1:1" x14ac:dyDescent="0.25">
      <c r="A75" s="37" t="s">
        <v>71</v>
      </c>
    </row>
    <row r="76" spans="1:1" x14ac:dyDescent="0.25">
      <c r="A76" s="37" t="s">
        <v>72</v>
      </c>
    </row>
    <row r="77" spans="1:1" x14ac:dyDescent="0.25">
      <c r="A77" s="37" t="s">
        <v>73</v>
      </c>
    </row>
    <row r="78" spans="1:1" x14ac:dyDescent="0.25">
      <c r="A78" s="37" t="s">
        <v>74</v>
      </c>
    </row>
    <row r="79" spans="1:1" x14ac:dyDescent="0.25">
      <c r="A79" s="37" t="s">
        <v>75</v>
      </c>
    </row>
    <row r="80" spans="1:1" x14ac:dyDescent="0.25">
      <c r="A80" s="38" t="s">
        <v>76</v>
      </c>
    </row>
    <row r="83" spans="1:1" x14ac:dyDescent="0.25">
      <c r="A83" s="42" t="s">
        <v>98</v>
      </c>
    </row>
    <row r="84" spans="1:1" x14ac:dyDescent="0.25">
      <c r="A84" s="37" t="s">
        <v>99</v>
      </c>
    </row>
    <row r="85" spans="1:1" x14ac:dyDescent="0.25">
      <c r="A85" s="37" t="s">
        <v>100</v>
      </c>
    </row>
    <row r="86" spans="1:1" x14ac:dyDescent="0.25">
      <c r="A86" s="37" t="s">
        <v>101</v>
      </c>
    </row>
    <row r="87" spans="1:1" x14ac:dyDescent="0.25">
      <c r="A87" s="37" t="s">
        <v>102</v>
      </c>
    </row>
    <row r="88" spans="1:1" x14ac:dyDescent="0.25">
      <c r="A88" s="37" t="s">
        <v>103</v>
      </c>
    </row>
    <row r="89" spans="1:1" x14ac:dyDescent="0.25">
      <c r="A89" s="37"/>
    </row>
    <row r="90" spans="1:1" x14ac:dyDescent="0.25">
      <c r="A90" s="37" t="s">
        <v>153</v>
      </c>
    </row>
    <row r="113" spans="1:5" x14ac:dyDescent="0.25">
      <c r="A113" t="s">
        <v>93</v>
      </c>
      <c r="B113" t="s">
        <v>133</v>
      </c>
      <c r="E113">
        <f>877.97*4</f>
        <v>3511.88</v>
      </c>
    </row>
    <row r="129" spans="1:1" x14ac:dyDescent="0.25">
      <c r="A129" t="s">
        <v>94</v>
      </c>
    </row>
    <row r="130" spans="1:1" x14ac:dyDescent="0.25">
      <c r="A130" t="s">
        <v>95</v>
      </c>
    </row>
    <row r="147" spans="1:4" x14ac:dyDescent="0.25">
      <c r="B147">
        <v>155000</v>
      </c>
      <c r="C147">
        <v>154900</v>
      </c>
      <c r="D147">
        <v>174900</v>
      </c>
    </row>
    <row r="148" spans="1:4" ht="78" customHeight="1" x14ac:dyDescent="0.25">
      <c r="A148" s="84" t="s">
        <v>113</v>
      </c>
      <c r="B148" s="85"/>
      <c r="C148" s="85"/>
      <c r="D148" s="86"/>
    </row>
    <row r="149" spans="1:4" x14ac:dyDescent="0.25">
      <c r="A149" s="46" t="s">
        <v>134</v>
      </c>
      <c r="B149" s="47"/>
      <c r="C149" s="47"/>
      <c r="D149" s="49"/>
    </row>
    <row r="150" spans="1:4" x14ac:dyDescent="0.25">
      <c r="A150" s="46" t="s">
        <v>135</v>
      </c>
      <c r="B150" s="47"/>
      <c r="C150" s="47"/>
      <c r="D150" s="49"/>
    </row>
    <row r="151" spans="1:4" x14ac:dyDescent="0.25">
      <c r="A151" s="46" t="s">
        <v>136</v>
      </c>
      <c r="B151" s="47"/>
      <c r="C151" s="47"/>
      <c r="D151" s="49"/>
    </row>
    <row r="152" spans="1:4" x14ac:dyDescent="0.25">
      <c r="A152" s="50" t="s">
        <v>137</v>
      </c>
      <c r="B152" s="51"/>
      <c r="C152" s="51"/>
      <c r="D152" s="52"/>
    </row>
    <row r="159" spans="1:4" x14ac:dyDescent="0.25">
      <c r="A159" t="s">
        <v>106</v>
      </c>
    </row>
  </sheetData>
  <mergeCells count="17">
    <mergeCell ref="K25:O25"/>
    <mergeCell ref="B52:G52"/>
    <mergeCell ref="A1:F1"/>
    <mergeCell ref="B49:G49"/>
    <mergeCell ref="B50:G50"/>
    <mergeCell ref="B51:G51"/>
    <mergeCell ref="E7:G7"/>
    <mergeCell ref="E14:H14"/>
    <mergeCell ref="E15:H15"/>
    <mergeCell ref="A34:E34"/>
    <mergeCell ref="A148:D148"/>
    <mergeCell ref="B53:G53"/>
    <mergeCell ref="B54:G54"/>
    <mergeCell ref="B55:G55"/>
    <mergeCell ref="B56:C56"/>
    <mergeCell ref="B57:G57"/>
    <mergeCell ref="A58:G58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78"/>
  <sheetViews>
    <sheetView workbookViewId="0">
      <selection activeCell="B15" sqref="B15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25.42578125" customWidth="1"/>
    <col min="8" max="8" width="9.85546875" customWidth="1"/>
    <col min="9" max="9" width="9.5703125" bestFit="1" customWidth="1"/>
    <col min="12" max="12" width="15.5703125" customWidth="1"/>
    <col min="13" max="13" width="15.85546875" customWidth="1"/>
    <col min="14" max="14" width="16" customWidth="1"/>
    <col min="15" max="15" width="15.28515625" customWidth="1"/>
    <col min="16" max="16" width="16.42578125" customWidth="1"/>
  </cols>
  <sheetData>
    <row r="1" spans="1:8" x14ac:dyDescent="0.25">
      <c r="A1" s="83" t="s">
        <v>7</v>
      </c>
      <c r="B1" s="83"/>
      <c r="C1" s="83"/>
      <c r="D1" s="83"/>
      <c r="E1" s="83"/>
      <c r="F1" s="83"/>
    </row>
    <row r="2" spans="1:8" x14ac:dyDescent="0.25">
      <c r="A2" s="62" t="s">
        <v>145</v>
      </c>
      <c r="B2" s="62"/>
      <c r="C2" s="62"/>
      <c r="D2" s="62"/>
      <c r="E2" s="62"/>
      <c r="F2" s="62"/>
    </row>
    <row r="3" spans="1:8" x14ac:dyDescent="0.25">
      <c r="A3" s="62"/>
      <c r="B3" s="39" t="s">
        <v>77</v>
      </c>
      <c r="C3" s="62"/>
      <c r="D3" s="62">
        <v>146.4</v>
      </c>
      <c r="E3" s="62"/>
      <c r="F3" s="62"/>
    </row>
    <row r="4" spans="1:8" x14ac:dyDescent="0.25">
      <c r="A4" s="62"/>
      <c r="B4" s="39" t="s">
        <v>78</v>
      </c>
      <c r="C4" s="62"/>
      <c r="D4" s="62">
        <v>24</v>
      </c>
      <c r="E4" s="62"/>
      <c r="F4" s="62"/>
    </row>
    <row r="5" spans="1:8" x14ac:dyDescent="0.25">
      <c r="A5" s="9" t="s">
        <v>143</v>
      </c>
      <c r="B5" t="s">
        <v>23</v>
      </c>
      <c r="D5">
        <f>D3*D4</f>
        <v>3513.6000000000004</v>
      </c>
    </row>
    <row r="6" spans="1:8" x14ac:dyDescent="0.25">
      <c r="B6" t="s">
        <v>110</v>
      </c>
      <c r="D6">
        <f>D5*10</f>
        <v>35136</v>
      </c>
    </row>
    <row r="7" spans="1:8" ht="49.15" customHeight="1" x14ac:dyDescent="0.25">
      <c r="A7" s="62" t="s">
        <v>9</v>
      </c>
      <c r="B7" s="6">
        <v>233300</v>
      </c>
      <c r="C7" s="62"/>
      <c r="D7" s="62"/>
      <c r="E7" s="96" t="s">
        <v>104</v>
      </c>
      <c r="F7" s="96"/>
      <c r="G7" s="96"/>
      <c r="H7" s="96"/>
    </row>
    <row r="8" spans="1:8" x14ac:dyDescent="0.25">
      <c r="A8" s="62" t="s">
        <v>124</v>
      </c>
      <c r="B8" s="6">
        <f>B7*30%</f>
        <v>69990</v>
      </c>
      <c r="C8" s="62"/>
      <c r="D8" s="62"/>
      <c r="E8" s="39" t="s">
        <v>91</v>
      </c>
      <c r="F8" s="62"/>
    </row>
    <row r="9" spans="1:8" x14ac:dyDescent="0.25">
      <c r="A9" s="62" t="s">
        <v>10</v>
      </c>
      <c r="B9" s="6">
        <f>B7-B8</f>
        <v>163310</v>
      </c>
      <c r="C9" s="62"/>
      <c r="D9" s="62"/>
      <c r="E9" s="62"/>
      <c r="F9" s="62"/>
    </row>
    <row r="10" spans="1:8" x14ac:dyDescent="0.25">
      <c r="A10" s="62" t="s">
        <v>11</v>
      </c>
      <c r="B10" s="6">
        <v>60</v>
      </c>
      <c r="C10" s="6">
        <f>B9/B10</f>
        <v>2721.8333333333335</v>
      </c>
      <c r="D10" s="62"/>
      <c r="E10" s="39" t="s">
        <v>90</v>
      </c>
      <c r="F10" s="62"/>
    </row>
    <row r="11" spans="1:8" x14ac:dyDescent="0.25">
      <c r="A11" s="62" t="s">
        <v>13</v>
      </c>
      <c r="B11" s="14">
        <v>0.15</v>
      </c>
      <c r="C11" s="7">
        <f>B7*B11/12</f>
        <v>2916.25</v>
      </c>
      <c r="D11" s="62"/>
      <c r="E11" s="39" t="s">
        <v>105</v>
      </c>
      <c r="F11" s="62"/>
    </row>
    <row r="13" spans="1:8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8" x14ac:dyDescent="0.25">
      <c r="A14" s="2" t="s">
        <v>2</v>
      </c>
      <c r="B14" s="2">
        <v>7.29</v>
      </c>
      <c r="C14" s="2">
        <v>3.5</v>
      </c>
      <c r="D14" s="3">
        <f t="shared" ref="D14:D23" si="0">B14/C14</f>
        <v>2.0828571428571427</v>
      </c>
      <c r="E14" s="60" t="s">
        <v>84</v>
      </c>
    </row>
    <row r="15" spans="1:8" x14ac:dyDescent="0.25">
      <c r="A15" s="2" t="s">
        <v>6</v>
      </c>
      <c r="B15" s="3">
        <v>600</v>
      </c>
      <c r="C15" s="2">
        <f>D5</f>
        <v>3513.6000000000004</v>
      </c>
      <c r="D15" s="3">
        <f t="shared" si="0"/>
        <v>0.17076502732240437</v>
      </c>
      <c r="E15" s="61" t="s">
        <v>96</v>
      </c>
    </row>
    <row r="16" spans="1:8" x14ac:dyDescent="0.25">
      <c r="A16" s="2" t="s">
        <v>20</v>
      </c>
      <c r="B16" s="3"/>
      <c r="C16" s="2">
        <f>C15*12</f>
        <v>42163.200000000004</v>
      </c>
      <c r="D16" s="3">
        <f t="shared" si="0"/>
        <v>0</v>
      </c>
    </row>
    <row r="17" spans="1:16" x14ac:dyDescent="0.25">
      <c r="A17" s="2" t="s">
        <v>3</v>
      </c>
      <c r="B17" s="3">
        <v>700</v>
      </c>
      <c r="C17" s="2">
        <f>C15</f>
        <v>3513.6000000000004</v>
      </c>
      <c r="D17" s="3">
        <f t="shared" si="0"/>
        <v>0.19922586520947175</v>
      </c>
      <c r="E17" t="s">
        <v>85</v>
      </c>
    </row>
    <row r="18" spans="1:16" x14ac:dyDescent="0.25">
      <c r="A18" s="2" t="s">
        <v>114</v>
      </c>
      <c r="B18" s="3">
        <v>12105</v>
      </c>
      <c r="C18" s="2">
        <v>60000</v>
      </c>
      <c r="D18" s="3">
        <f t="shared" si="0"/>
        <v>0.20175000000000001</v>
      </c>
      <c r="E18" t="s">
        <v>92</v>
      </c>
    </row>
    <row r="19" spans="1:16" x14ac:dyDescent="0.25">
      <c r="A19" s="2" t="s">
        <v>109</v>
      </c>
      <c r="B19" s="3">
        <v>63.4</v>
      </c>
      <c r="C19" s="2">
        <f>C20</f>
        <v>3513.6000000000004</v>
      </c>
      <c r="D19" s="3">
        <f>B19/C19</f>
        <v>1.8044171220400727E-2</v>
      </c>
      <c r="E19" t="s">
        <v>108</v>
      </c>
    </row>
    <row r="20" spans="1:16" x14ac:dyDescent="0.25">
      <c r="A20" s="2" t="s">
        <v>26</v>
      </c>
      <c r="B20" s="3">
        <v>250</v>
      </c>
      <c r="C20" s="2">
        <f>C17</f>
        <v>3513.6000000000004</v>
      </c>
      <c r="D20" s="3">
        <f t="shared" si="0"/>
        <v>7.1152094717668479E-2</v>
      </c>
      <c r="E20" t="s">
        <v>97</v>
      </c>
    </row>
    <row r="21" spans="1:16" x14ac:dyDescent="0.25">
      <c r="A21" s="2" t="s">
        <v>4</v>
      </c>
      <c r="B21" s="3">
        <f>I61</f>
        <v>9122.6464646464647</v>
      </c>
      <c r="C21" s="2">
        <f>C17</f>
        <v>3513.6000000000004</v>
      </c>
      <c r="D21" s="3">
        <f t="shared" si="0"/>
        <v>2.5963816213133151</v>
      </c>
      <c r="E21" t="s">
        <v>86</v>
      </c>
    </row>
    <row r="22" spans="1:16" x14ac:dyDescent="0.25">
      <c r="A22" s="2" t="s">
        <v>12</v>
      </c>
      <c r="B22" s="3">
        <f>C10</f>
        <v>2721.8333333333335</v>
      </c>
      <c r="C22" s="2">
        <f>C21</f>
        <v>3513.6000000000004</v>
      </c>
      <c r="D22" s="3">
        <f t="shared" si="0"/>
        <v>0.77465657255616271</v>
      </c>
      <c r="E22" t="s">
        <v>89</v>
      </c>
    </row>
    <row r="23" spans="1:16" x14ac:dyDescent="0.25">
      <c r="A23" s="2" t="s">
        <v>14</v>
      </c>
      <c r="B23" s="8">
        <f>C11</f>
        <v>2916.25</v>
      </c>
      <c r="C23" s="2">
        <f>C22</f>
        <v>3513.6000000000004</v>
      </c>
      <c r="D23" s="3">
        <f t="shared" si="0"/>
        <v>0.82998918488160278</v>
      </c>
      <c r="E23" t="s">
        <v>89</v>
      </c>
    </row>
    <row r="24" spans="1:16" x14ac:dyDescent="0.25">
      <c r="A24" s="4" t="s">
        <v>24</v>
      </c>
      <c r="B24" s="4"/>
      <c r="C24" s="4" t="s">
        <v>5</v>
      </c>
      <c r="D24" s="5">
        <f>SUM(D14:D23)</f>
        <v>6.944821680078169</v>
      </c>
    </row>
    <row r="25" spans="1:16" x14ac:dyDescent="0.25">
      <c r="L25" s="99" t="s">
        <v>156</v>
      </c>
      <c r="M25" s="100"/>
      <c r="N25" s="100"/>
      <c r="O25" s="100"/>
      <c r="P25" s="101"/>
    </row>
    <row r="26" spans="1:16" x14ac:dyDescent="0.25">
      <c r="A26" s="2" t="s">
        <v>17</v>
      </c>
      <c r="B26" s="2"/>
      <c r="C26" s="10">
        <v>0.1</v>
      </c>
      <c r="D26" s="8">
        <f>D24*C26</f>
        <v>0.69448216800781692</v>
      </c>
      <c r="E26" t="s">
        <v>88</v>
      </c>
      <c r="L26" s="102" t="s">
        <v>157</v>
      </c>
      <c r="M26" s="102" t="s">
        <v>160</v>
      </c>
      <c r="N26" s="102" t="s">
        <v>161</v>
      </c>
      <c r="O26" s="102" t="s">
        <v>158</v>
      </c>
      <c r="P26" s="102" t="s">
        <v>159</v>
      </c>
    </row>
    <row r="27" spans="1:16" x14ac:dyDescent="0.25">
      <c r="A27" s="2" t="s">
        <v>18</v>
      </c>
      <c r="B27" s="2"/>
      <c r="C27" s="10">
        <v>0.1</v>
      </c>
      <c r="D27" s="8">
        <f>D24*C27</f>
        <v>0.69448216800781692</v>
      </c>
      <c r="E27" t="s">
        <v>88</v>
      </c>
      <c r="L27" s="103">
        <f>D31</f>
        <v>8.8879827861640415</v>
      </c>
      <c r="M27" s="104">
        <f>D3</f>
        <v>146.4</v>
      </c>
      <c r="N27" s="103">
        <f>L27*M27</f>
        <v>1301.2006798944158</v>
      </c>
      <c r="O27" s="2">
        <v>200</v>
      </c>
      <c r="P27" s="103">
        <f>N27*O27</f>
        <v>260240.13597888316</v>
      </c>
    </row>
    <row r="28" spans="1:16" x14ac:dyDescent="0.25">
      <c r="A28" s="11" t="s">
        <v>15</v>
      </c>
      <c r="B28" s="11"/>
      <c r="C28" s="11"/>
      <c r="D28" s="12">
        <f>D27+D26+D24</f>
        <v>8.3337860160938035</v>
      </c>
    </row>
    <row r="29" spans="1:16" x14ac:dyDescent="0.25">
      <c r="A29" s="2" t="s">
        <v>16</v>
      </c>
      <c r="B29" s="2"/>
      <c r="C29" s="13">
        <v>6.6500000000000004E-2</v>
      </c>
      <c r="D29" s="8">
        <f>D28*C29</f>
        <v>0.55419677007023793</v>
      </c>
      <c r="E29" t="s">
        <v>87</v>
      </c>
    </row>
    <row r="30" spans="1:16" x14ac:dyDescent="0.25">
      <c r="A30" s="2" t="s">
        <v>19</v>
      </c>
      <c r="B30" s="2"/>
      <c r="C30" s="10"/>
      <c r="D30" s="8"/>
    </row>
    <row r="31" spans="1:16" x14ac:dyDescent="0.25">
      <c r="A31" s="11" t="s">
        <v>25</v>
      </c>
      <c r="B31" s="11"/>
      <c r="C31" s="11"/>
      <c r="D31" s="12">
        <f>D28+D29</f>
        <v>8.8879827861640415</v>
      </c>
    </row>
    <row r="32" spans="1:16" x14ac:dyDescent="0.25">
      <c r="A32" s="15" t="s">
        <v>27</v>
      </c>
      <c r="B32" s="2"/>
      <c r="C32" s="2">
        <f>D5</f>
        <v>3513.6000000000004</v>
      </c>
      <c r="D32" s="8">
        <f>D31*C32</f>
        <v>31228.816317465978</v>
      </c>
    </row>
    <row r="34" spans="1:9" ht="50.25" customHeight="1" x14ac:dyDescent="0.25">
      <c r="A34" s="82" t="s">
        <v>152</v>
      </c>
      <c r="B34" s="82"/>
      <c r="C34" s="82"/>
      <c r="D34" s="82"/>
      <c r="E34" s="82"/>
    </row>
    <row r="35" spans="1:9" x14ac:dyDescent="0.25">
      <c r="A35" s="9" t="s">
        <v>62</v>
      </c>
      <c r="C35" s="71" t="s">
        <v>154</v>
      </c>
      <c r="D35" s="16"/>
      <c r="E35" s="71" t="s">
        <v>155</v>
      </c>
    </row>
    <row r="36" spans="1:9" x14ac:dyDescent="0.25">
      <c r="A36" s="11" t="s">
        <v>79</v>
      </c>
      <c r="B36" s="2"/>
      <c r="C36" s="3">
        <v>2448.1</v>
      </c>
      <c r="D36" s="8">
        <v>220</v>
      </c>
      <c r="E36" s="2">
        <v>1789.04</v>
      </c>
    </row>
    <row r="37" spans="1:9" x14ac:dyDescent="0.25">
      <c r="A37" s="2" t="s">
        <v>80</v>
      </c>
      <c r="B37" s="2"/>
      <c r="C37" s="3">
        <f>C36/D36*200</f>
        <v>2225.5454545454545</v>
      </c>
      <c r="D37" s="8"/>
      <c r="E37" s="69">
        <f>E36/D36*200</f>
        <v>1626.3999999999999</v>
      </c>
    </row>
    <row r="38" spans="1:9" x14ac:dyDescent="0.25">
      <c r="A38" s="2" t="s">
        <v>52</v>
      </c>
      <c r="B38" s="10">
        <v>0.2</v>
      </c>
      <c r="C38" s="8">
        <f>C37*B38</f>
        <v>445.10909090909092</v>
      </c>
      <c r="D38" s="2"/>
      <c r="E38" s="69">
        <f>E37*B38</f>
        <v>325.27999999999997</v>
      </c>
    </row>
    <row r="39" spans="1:9" x14ac:dyDescent="0.25">
      <c r="A39" s="31" t="s">
        <v>60</v>
      </c>
      <c r="B39" s="10"/>
      <c r="C39" s="8"/>
      <c r="D39" s="12">
        <f>C38+C37</f>
        <v>2670.6545454545453</v>
      </c>
      <c r="E39" s="70">
        <f>SUM(E37:E38)</f>
        <v>1951.6799999999998</v>
      </c>
    </row>
    <row r="40" spans="1:9" x14ac:dyDescent="0.25">
      <c r="A40" s="2" t="s">
        <v>53</v>
      </c>
      <c r="B40" s="2">
        <v>20</v>
      </c>
      <c r="C40" s="3">
        <v>9.4</v>
      </c>
      <c r="D40" s="3">
        <f>C40*B40</f>
        <v>188</v>
      </c>
      <c r="E40" s="8">
        <f>D40</f>
        <v>188</v>
      </c>
    </row>
    <row r="41" spans="1:9" x14ac:dyDescent="0.25">
      <c r="A41" s="2" t="s">
        <v>54</v>
      </c>
      <c r="B41" s="2">
        <v>1</v>
      </c>
      <c r="C41" s="3">
        <v>740</v>
      </c>
      <c r="D41" s="3">
        <f>B41*C41</f>
        <v>740</v>
      </c>
      <c r="E41" s="8">
        <f>D41</f>
        <v>740</v>
      </c>
    </row>
    <row r="42" spans="1:9" x14ac:dyDescent="0.25">
      <c r="A42" s="2" t="s">
        <v>81</v>
      </c>
      <c r="B42" s="2"/>
      <c r="C42" s="63">
        <v>5.0700000000000002E-2</v>
      </c>
      <c r="D42" s="3">
        <f>-D41*C42</f>
        <v>-37.518000000000001</v>
      </c>
      <c r="E42" s="69">
        <f>E41*C42</f>
        <v>37.518000000000001</v>
      </c>
    </row>
    <row r="43" spans="1:9" x14ac:dyDescent="0.25">
      <c r="A43" s="2" t="s">
        <v>82</v>
      </c>
      <c r="B43" s="2"/>
      <c r="C43" s="63">
        <v>0.06</v>
      </c>
      <c r="D43" s="3">
        <f>-C37*C43</f>
        <v>-133.53272727272727</v>
      </c>
      <c r="E43" s="8">
        <f>E37*C43</f>
        <v>97.583999999999989</v>
      </c>
    </row>
    <row r="44" spans="1:9" x14ac:dyDescent="0.25">
      <c r="A44" s="11" t="s">
        <v>55</v>
      </c>
      <c r="B44" s="11"/>
      <c r="C44" s="11"/>
      <c r="D44" s="12">
        <f>SUM(D39:D43)</f>
        <v>3427.603818181818</v>
      </c>
      <c r="E44" s="12">
        <f>SUM(E39:E43)</f>
        <v>3014.7819999999997</v>
      </c>
    </row>
    <row r="45" spans="1:9" x14ac:dyDescent="0.25">
      <c r="A45" s="2" t="s">
        <v>56</v>
      </c>
      <c r="B45" s="2"/>
      <c r="C45" s="2"/>
      <c r="D45" s="8">
        <f>D44/12</f>
        <v>285.63365151515148</v>
      </c>
      <c r="E45" s="8">
        <f>E44/12</f>
        <v>251.2318333333333</v>
      </c>
    </row>
    <row r="46" spans="1:9" x14ac:dyDescent="0.25">
      <c r="A46" s="2" t="s">
        <v>57</v>
      </c>
      <c r="B46" s="2"/>
      <c r="C46" s="2"/>
      <c r="D46" s="3">
        <f>(D44/3)/12</f>
        <v>95.211217171717166</v>
      </c>
      <c r="E46" s="3">
        <f>(E44/3)/12</f>
        <v>83.743944444444438</v>
      </c>
    </row>
    <row r="47" spans="1:9" x14ac:dyDescent="0.25">
      <c r="A47" s="11" t="s">
        <v>58</v>
      </c>
      <c r="B47" s="11"/>
      <c r="C47" s="11"/>
      <c r="D47" s="30">
        <f>D46+D45+D44</f>
        <v>3808.4486868686868</v>
      </c>
      <c r="E47" s="30">
        <f>E46+E45+E44</f>
        <v>3349.7577777777774</v>
      </c>
      <c r="F47" s="9" t="s">
        <v>59</v>
      </c>
      <c r="G47" s="9"/>
      <c r="H47" s="9"/>
      <c r="I47" s="29">
        <f>D39+D45+D46+E39+E45+E46</f>
        <v>5338.1551919191916</v>
      </c>
    </row>
    <row r="49" spans="1:9" ht="30" x14ac:dyDescent="0.25">
      <c r="A49" s="17" t="s">
        <v>29</v>
      </c>
      <c r="B49" s="79" t="s">
        <v>30</v>
      </c>
      <c r="C49" s="80"/>
      <c r="D49" s="80"/>
      <c r="E49" s="80"/>
      <c r="F49" s="80"/>
      <c r="G49" s="81"/>
      <c r="H49" s="18" t="s">
        <v>31</v>
      </c>
      <c r="I49" s="18" t="s">
        <v>32</v>
      </c>
    </row>
    <row r="50" spans="1:9" x14ac:dyDescent="0.25">
      <c r="A50" s="19" t="s">
        <v>33</v>
      </c>
      <c r="B50" s="76" t="s">
        <v>34</v>
      </c>
      <c r="C50" s="77"/>
      <c r="D50" s="77"/>
      <c r="E50" s="77"/>
      <c r="F50" s="77"/>
      <c r="G50" s="78"/>
      <c r="H50" s="20">
        <v>0.2</v>
      </c>
      <c r="I50" s="21">
        <f>$I$47*H50</f>
        <v>1067.6310383838384</v>
      </c>
    </row>
    <row r="51" spans="1:9" x14ac:dyDescent="0.25">
      <c r="A51" s="19" t="s">
        <v>35</v>
      </c>
      <c r="B51" s="76" t="s">
        <v>36</v>
      </c>
      <c r="C51" s="77"/>
      <c r="D51" s="77"/>
      <c r="E51" s="77"/>
      <c r="F51" s="77"/>
      <c r="G51" s="78"/>
      <c r="H51" s="20">
        <v>1.4999999999999999E-2</v>
      </c>
      <c r="I51" s="21">
        <f t="shared" ref="I51:I57" si="1">$I$47*H51</f>
        <v>80.072327878787874</v>
      </c>
    </row>
    <row r="52" spans="1:9" x14ac:dyDescent="0.25">
      <c r="A52" s="19" t="s">
        <v>37</v>
      </c>
      <c r="B52" s="76" t="s">
        <v>38</v>
      </c>
      <c r="C52" s="77"/>
      <c r="D52" s="77"/>
      <c r="E52" s="77"/>
      <c r="F52" s="77"/>
      <c r="G52" s="78"/>
      <c r="H52" s="20">
        <v>0.01</v>
      </c>
      <c r="I52" s="21">
        <f t="shared" si="1"/>
        <v>53.381551919191914</v>
      </c>
    </row>
    <row r="53" spans="1:9" x14ac:dyDescent="0.25">
      <c r="A53" s="19" t="s">
        <v>39</v>
      </c>
      <c r="B53" s="76" t="s">
        <v>40</v>
      </c>
      <c r="C53" s="77"/>
      <c r="D53" s="77"/>
      <c r="E53" s="77"/>
      <c r="F53" s="77"/>
      <c r="G53" s="78"/>
      <c r="H53" s="20">
        <v>2E-3</v>
      </c>
      <c r="I53" s="21">
        <f t="shared" si="1"/>
        <v>10.676310383838384</v>
      </c>
    </row>
    <row r="54" spans="1:9" x14ac:dyDescent="0.25">
      <c r="A54" s="19" t="s">
        <v>41</v>
      </c>
      <c r="B54" s="87" t="s">
        <v>42</v>
      </c>
      <c r="C54" s="88"/>
      <c r="D54" s="88"/>
      <c r="E54" s="88"/>
      <c r="F54" s="88"/>
      <c r="G54" s="89"/>
      <c r="H54" s="20">
        <v>2.5000000000000001E-2</v>
      </c>
      <c r="I54" s="21">
        <f t="shared" si="1"/>
        <v>133.45387979797979</v>
      </c>
    </row>
    <row r="55" spans="1:9" x14ac:dyDescent="0.25">
      <c r="A55" s="19" t="s">
        <v>43</v>
      </c>
      <c r="B55" s="87" t="s">
        <v>44</v>
      </c>
      <c r="C55" s="88"/>
      <c r="D55" s="88"/>
      <c r="E55" s="88"/>
      <c r="F55" s="88"/>
      <c r="G55" s="89"/>
      <c r="H55" s="22">
        <v>0.08</v>
      </c>
      <c r="I55" s="21">
        <f t="shared" si="1"/>
        <v>427.05241535353531</v>
      </c>
    </row>
    <row r="56" spans="1:9" x14ac:dyDescent="0.25">
      <c r="A56" s="19" t="s">
        <v>45</v>
      </c>
      <c r="B56" s="90" t="s">
        <v>46</v>
      </c>
      <c r="C56" s="91"/>
      <c r="D56" s="23" t="s">
        <v>47</v>
      </c>
      <c r="E56" s="24">
        <v>0.03</v>
      </c>
      <c r="F56" s="23" t="s">
        <v>48</v>
      </c>
      <c r="G56" s="25">
        <v>1</v>
      </c>
      <c r="H56" s="26">
        <f>ROUND((E56*G56),6)</f>
        <v>0.03</v>
      </c>
      <c r="I56" s="21">
        <f t="shared" si="1"/>
        <v>160.14465575757575</v>
      </c>
    </row>
    <row r="57" spans="1:9" x14ac:dyDescent="0.25">
      <c r="A57" s="19" t="s">
        <v>49</v>
      </c>
      <c r="B57" s="87" t="s">
        <v>50</v>
      </c>
      <c r="C57" s="88"/>
      <c r="D57" s="88"/>
      <c r="E57" s="88"/>
      <c r="F57" s="88"/>
      <c r="G57" s="89"/>
      <c r="H57" s="20">
        <v>6.0000000000000001E-3</v>
      </c>
      <c r="I57" s="21">
        <f t="shared" si="1"/>
        <v>32.028931151515152</v>
      </c>
    </row>
    <row r="58" spans="1:9" x14ac:dyDescent="0.25">
      <c r="A58" s="92" t="s">
        <v>51</v>
      </c>
      <c r="B58" s="93"/>
      <c r="C58" s="93"/>
      <c r="D58" s="93"/>
      <c r="E58" s="93"/>
      <c r="F58" s="93"/>
      <c r="G58" s="94"/>
      <c r="H58" s="27">
        <f>SUM(H50:H57)</f>
        <v>0.3680000000000001</v>
      </c>
      <c r="I58" s="28">
        <f>TRUNC(SUM(I50:I57),2)</f>
        <v>1964.44</v>
      </c>
    </row>
    <row r="60" spans="1:9" x14ac:dyDescent="0.25">
      <c r="A60" s="32" t="s">
        <v>63</v>
      </c>
      <c r="B60" s="2"/>
      <c r="C60" s="2"/>
      <c r="D60" s="2"/>
      <c r="E60" s="2"/>
      <c r="F60" s="2"/>
      <c r="G60" s="2"/>
      <c r="H60" s="2"/>
      <c r="I60" s="12">
        <f>D47+I58+E47</f>
        <v>9122.6464646464647</v>
      </c>
    </row>
    <row r="61" spans="1:9" x14ac:dyDescent="0.25">
      <c r="A61" s="33" t="s">
        <v>61</v>
      </c>
      <c r="B61" s="2"/>
      <c r="C61" s="2"/>
      <c r="D61" s="2"/>
      <c r="E61" s="2"/>
      <c r="F61" s="2"/>
      <c r="G61" s="2"/>
      <c r="H61" s="10">
        <v>1</v>
      </c>
      <c r="I61" s="12">
        <f>I60*H61</f>
        <v>9122.6464646464647</v>
      </c>
    </row>
    <row r="65" spans="1:1" x14ac:dyDescent="0.25">
      <c r="A65" s="34" t="s">
        <v>64</v>
      </c>
    </row>
    <row r="66" spans="1:1" x14ac:dyDescent="0.25">
      <c r="A66" s="35" t="s">
        <v>65</v>
      </c>
    </row>
    <row r="67" spans="1:1" x14ac:dyDescent="0.25">
      <c r="A67" s="35" t="s">
        <v>66</v>
      </c>
    </row>
    <row r="68" spans="1:1" x14ac:dyDescent="0.25">
      <c r="A68" s="35" t="s">
        <v>67</v>
      </c>
    </row>
    <row r="69" spans="1:1" x14ac:dyDescent="0.25">
      <c r="A69" s="35" t="s">
        <v>68</v>
      </c>
    </row>
    <row r="70" spans="1:1" x14ac:dyDescent="0.25">
      <c r="A70" s="35"/>
    </row>
    <row r="71" spans="1:1" x14ac:dyDescent="0.25">
      <c r="A71" s="35"/>
    </row>
    <row r="72" spans="1:1" x14ac:dyDescent="0.25">
      <c r="A72" s="35"/>
    </row>
    <row r="73" spans="1:1" x14ac:dyDescent="0.25">
      <c r="A73" s="36" t="s">
        <v>69</v>
      </c>
    </row>
    <row r="74" spans="1:1" x14ac:dyDescent="0.25">
      <c r="A74" s="37" t="s">
        <v>70</v>
      </c>
    </row>
    <row r="75" spans="1:1" x14ac:dyDescent="0.25">
      <c r="A75" s="37" t="s">
        <v>71</v>
      </c>
    </row>
    <row r="76" spans="1:1" x14ac:dyDescent="0.25">
      <c r="A76" s="37" t="s">
        <v>72</v>
      </c>
    </row>
    <row r="77" spans="1:1" x14ac:dyDescent="0.25">
      <c r="A77" s="37" t="s">
        <v>73</v>
      </c>
    </row>
    <row r="78" spans="1:1" x14ac:dyDescent="0.25">
      <c r="A78" s="37" t="s">
        <v>74</v>
      </c>
    </row>
    <row r="79" spans="1:1" x14ac:dyDescent="0.25">
      <c r="A79" s="37" t="s">
        <v>75</v>
      </c>
    </row>
    <row r="80" spans="1:1" x14ac:dyDescent="0.25">
      <c r="A80" s="38" t="s">
        <v>76</v>
      </c>
    </row>
    <row r="83" spans="1:1" x14ac:dyDescent="0.25">
      <c r="A83" s="42" t="s">
        <v>98</v>
      </c>
    </row>
    <row r="84" spans="1:1" x14ac:dyDescent="0.25">
      <c r="A84" s="37" t="s">
        <v>99</v>
      </c>
    </row>
    <row r="85" spans="1:1" x14ac:dyDescent="0.25">
      <c r="A85" s="37" t="s">
        <v>100</v>
      </c>
    </row>
    <row r="86" spans="1:1" x14ac:dyDescent="0.25">
      <c r="A86" s="37" t="s">
        <v>101</v>
      </c>
    </row>
    <row r="87" spans="1:1" x14ac:dyDescent="0.25">
      <c r="A87" s="37" t="s">
        <v>102</v>
      </c>
    </row>
    <row r="88" spans="1:1" x14ac:dyDescent="0.25">
      <c r="A88" s="37" t="s">
        <v>103</v>
      </c>
    </row>
    <row r="89" spans="1:1" x14ac:dyDescent="0.25">
      <c r="A89" s="37"/>
    </row>
    <row r="90" spans="1:1" x14ac:dyDescent="0.25">
      <c r="A90" s="37" t="s">
        <v>153</v>
      </c>
    </row>
    <row r="112" spans="5:5" x14ac:dyDescent="0.25">
      <c r="E112" s="57">
        <f>C112*6</f>
        <v>0</v>
      </c>
    </row>
    <row r="113" spans="1:6" x14ac:dyDescent="0.25">
      <c r="A113" s="95" t="s">
        <v>129</v>
      </c>
      <c r="B113" s="95"/>
      <c r="C113" s="95"/>
      <c r="D113" s="95"/>
      <c r="E113" s="95"/>
      <c r="F113" s="95"/>
    </row>
    <row r="129" spans="1:1" x14ac:dyDescent="0.25">
      <c r="A129" t="s">
        <v>94</v>
      </c>
    </row>
    <row r="130" spans="1:1" x14ac:dyDescent="0.25">
      <c r="A130" t="s">
        <v>95</v>
      </c>
    </row>
    <row r="148" spans="1:4" ht="78" customHeight="1" x14ac:dyDescent="0.25">
      <c r="A148" s="84" t="s">
        <v>141</v>
      </c>
      <c r="B148" s="85"/>
      <c r="C148" s="85"/>
      <c r="D148" s="86"/>
    </row>
    <row r="149" spans="1:4" x14ac:dyDescent="0.25">
      <c r="A149" s="46"/>
      <c r="B149" s="47"/>
      <c r="C149" s="47"/>
      <c r="D149" s="49"/>
    </row>
    <row r="150" spans="1:4" x14ac:dyDescent="0.25">
      <c r="A150" s="46"/>
      <c r="B150" s="47"/>
      <c r="C150" s="47"/>
      <c r="D150" s="49"/>
    </row>
    <row r="151" spans="1:4" x14ac:dyDescent="0.25">
      <c r="A151" s="46"/>
      <c r="B151" s="47"/>
      <c r="C151" s="47"/>
      <c r="D151" s="49"/>
    </row>
    <row r="152" spans="1:4" x14ac:dyDescent="0.25">
      <c r="A152" s="50" t="s">
        <v>142</v>
      </c>
      <c r="B152" s="51"/>
      <c r="C152" s="51"/>
      <c r="D152" s="52"/>
    </row>
    <row r="154" spans="1:4" x14ac:dyDescent="0.25">
      <c r="C154" s="56"/>
    </row>
    <row r="155" spans="1:4" x14ac:dyDescent="0.25">
      <c r="C155" s="56"/>
    </row>
    <row r="156" spans="1:4" x14ac:dyDescent="0.25">
      <c r="C156" s="56"/>
    </row>
    <row r="178" spans="1:1" x14ac:dyDescent="0.25">
      <c r="A178" t="s">
        <v>106</v>
      </c>
    </row>
  </sheetData>
  <mergeCells count="16">
    <mergeCell ref="L25:P25"/>
    <mergeCell ref="B51:G51"/>
    <mergeCell ref="A34:E34"/>
    <mergeCell ref="A1:F1"/>
    <mergeCell ref="E7:H7"/>
    <mergeCell ref="B49:G49"/>
    <mergeCell ref="B50:G50"/>
    <mergeCell ref="A58:G58"/>
    <mergeCell ref="A113:F113"/>
    <mergeCell ref="A148:D148"/>
    <mergeCell ref="B52:G52"/>
    <mergeCell ref="B53:G53"/>
    <mergeCell ref="B54:G54"/>
    <mergeCell ref="B55:G55"/>
    <mergeCell ref="B56:C56"/>
    <mergeCell ref="B57:G57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1 van 12 lugar</vt:lpstr>
      <vt:lpstr>2 ônibus 48 lugar</vt:lpstr>
      <vt:lpstr>3 onibus 40 lugar</vt:lpstr>
      <vt:lpstr>4 onibus 40 lug</vt:lpstr>
      <vt:lpstr>5 18 lugar</vt:lpstr>
      <vt:lpstr>6 van 24 lug</vt:lpstr>
      <vt:lpstr>7 micro 30lug</vt:lpstr>
      <vt:lpstr>8 van 21</vt:lpstr>
      <vt:lpstr>9 micro 30</vt:lpstr>
      <vt:lpstr>10 van 24</vt:lpstr>
      <vt:lpstr>11 van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</dc:creator>
  <cp:lastModifiedBy>Gabriel</cp:lastModifiedBy>
  <cp:lastPrinted>2026-03-12T13:11:50Z</cp:lastPrinted>
  <dcterms:created xsi:type="dcterms:W3CDTF">2019-11-18T12:02:57Z</dcterms:created>
  <dcterms:modified xsi:type="dcterms:W3CDTF">2026-03-18T15:10:45Z</dcterms:modified>
</cp:coreProperties>
</file>