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32760" yWindow="32760" windowWidth="20640" windowHeight="11760" tabRatio="811" activeTab="2"/>
  </bookViews>
  <sheets>
    <sheet name="BDI" sheetId="18" r:id="rId1"/>
    <sheet name="CFF" sheetId="20" r:id="rId2"/>
    <sheet name="PO" sheetId="19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0">BDI!$A$1:$R$45</definedName>
    <definedName name="_xlnm.Print_Area" localSheetId="1">CFF!$A$1:$M$39</definedName>
    <definedName name="_xlnm.Print_Area" localSheetId="2">PO!$A$1:$I$349</definedName>
    <definedName name="_xlnm.Database">TEXT(Import.DataBase,"mm-aaaa")</definedName>
    <definedName name="Dados.Lista.BDI">[1]DADOS!$T$37:$X$37</definedName>
    <definedName name="Import.DataBase">[1]DADOS!$A$38</definedName>
    <definedName name="Import.Desoneracao">[1]DADOS!$C$38</definedName>
    <definedName name="Import.Município">[1]DADOS!$G$32</definedName>
    <definedName name="PO.CustoUnitario">ROUND(#REF!,15-13*#REF!)</definedName>
    <definedName name="PO.PrecoUnitario">ROUND(#REF!,15-13*#REF!)</definedName>
    <definedName name="PO.Quantidade">ROUND(#REF!,15-13*#REF!)</definedName>
    <definedName name="Referencia.Descricao">IF(ISNUMBER([1]PO!linhaSINAPIxls),INDEX(INDIRECT("'[Referência "&amp;_xlnm.Database&amp;".xls]Banco'!$b:$g"),[1]PO!linhaSINAPIxls,3),"")</definedName>
    <definedName name="Referencia.Desonerado">IF(ISNUMBER([1]PO!linhaSINAPIxls),VALUE(INDEX(INDIRECT("'[Referência "&amp;_xlnm.Database&amp;".xls]Banco'!$b:$g"),[1]PO!linhaSINAPIxls,5)),0)</definedName>
    <definedName name="Referencia.NaoDesonerado">IF(ISNUMBER([1]PO!linhaSINAPIxls),VALUE(INDEX(INDIRECT("'[Referência "&amp;_xlnm.Database&amp;".xls]Banco'!$b:$g"),[1]PO!linhaSINAPIxls,6)),0)</definedName>
    <definedName name="Referencia.Unidade">IF(ISNUMBER([1]PO!linhaSINAPIxls),INDEX(INDIRECT("'[Referência "&amp;_xlnm.Database&amp;".xls]Banco'!$b:$g"),[1]PO!linhaSINAPIxls,4),"")</definedName>
    <definedName name="SomaAgrup">SUMIF(OFFSET(#REF!,1,0,#REF!),"S",OFFSET(#REF!,1,0,#REF!))</definedName>
    <definedName name="TipoOrçamento">"BASE"</definedName>
    <definedName name="_xlnm.Print_Titles" localSheetId="2">PO!$1:$7</definedName>
    <definedName name="TotalEventos">SUM(TotalPorEvento)</definedName>
    <definedName name="TotalPorEvento">[2]Eventograma_e_Quantitativos!$I$184:OFFSET([2]Eventograma_e_Quantitativos!$I$348,-1,0)</definedName>
    <definedName name="VTOTAL1">ROUND(PO.Quantidade*PO.PrecoUnitario,15-13*#REF!)</definedName>
  </definedNames>
  <calcPr calcId="124519"/>
</workbook>
</file>

<file path=xl/calcChain.xml><?xml version="1.0" encoding="utf-8"?>
<calcChain xmlns="http://schemas.openxmlformats.org/spreadsheetml/2006/main">
  <c r="B32" i="20"/>
  <c r="C340" i="19" s="1"/>
  <c r="D340"/>
  <c r="C32" i="20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C337" i="19"/>
  <c r="B337"/>
  <c r="D336"/>
  <c r="C335"/>
  <c r="B335"/>
  <c r="C334"/>
  <c r="B334"/>
  <c r="C333"/>
  <c r="B333"/>
  <c r="C332"/>
  <c r="B332"/>
  <c r="C331"/>
  <c r="B331"/>
  <c r="D330"/>
  <c r="C329"/>
  <c r="B329"/>
  <c r="C328"/>
  <c r="B328"/>
  <c r="C327"/>
  <c r="B327"/>
  <c r="C326"/>
  <c r="B326"/>
  <c r="C325"/>
  <c r="B325"/>
  <c r="C324"/>
  <c r="B324"/>
  <c r="C323"/>
  <c r="B323"/>
  <c r="C322"/>
  <c r="B322"/>
  <c r="C321"/>
  <c r="B321"/>
  <c r="C320"/>
  <c r="B320"/>
  <c r="C319"/>
  <c r="B319"/>
  <c r="C318"/>
  <c r="B318"/>
  <c r="C317"/>
  <c r="B317"/>
  <c r="C316"/>
  <c r="B316"/>
  <c r="C315"/>
  <c r="B315"/>
  <c r="C314"/>
  <c r="B314"/>
  <c r="C313"/>
  <c r="B313"/>
  <c r="D312"/>
  <c r="G311"/>
  <c r="D311"/>
  <c r="C311"/>
  <c r="B311"/>
  <c r="G310"/>
  <c r="D310"/>
  <c r="C310"/>
  <c r="B310"/>
  <c r="G309"/>
  <c r="D309"/>
  <c r="C309"/>
  <c r="B309"/>
  <c r="G308"/>
  <c r="D308"/>
  <c r="C308"/>
  <c r="B308"/>
  <c r="D307"/>
  <c r="C306"/>
  <c r="B306"/>
  <c r="C305"/>
  <c r="B305"/>
  <c r="C304"/>
  <c r="B304"/>
  <c r="C303"/>
  <c r="B303"/>
  <c r="D302"/>
  <c r="C301"/>
  <c r="B301"/>
  <c r="C300"/>
  <c r="B300"/>
  <c r="D299"/>
  <c r="G298"/>
  <c r="E298"/>
  <c r="D298"/>
  <c r="C298"/>
  <c r="B298"/>
  <c r="C297"/>
  <c r="B297"/>
  <c r="C296"/>
  <c r="B296"/>
  <c r="D295"/>
  <c r="C294"/>
  <c r="B294"/>
  <c r="D293"/>
  <c r="C292"/>
  <c r="B292"/>
  <c r="C291"/>
  <c r="B291"/>
  <c r="D290"/>
  <c r="G289"/>
  <c r="E289"/>
  <c r="D289"/>
  <c r="C289"/>
  <c r="B289"/>
  <c r="G288"/>
  <c r="E288"/>
  <c r="D288"/>
  <c r="C288"/>
  <c r="B288"/>
  <c r="G287"/>
  <c r="E287"/>
  <c r="D287"/>
  <c r="C287"/>
  <c r="B287"/>
  <c r="G286"/>
  <c r="E286"/>
  <c r="D286"/>
  <c r="C286"/>
  <c r="B286"/>
  <c r="G285"/>
  <c r="E285"/>
  <c r="D285"/>
  <c r="C285"/>
  <c r="B285"/>
  <c r="G284"/>
  <c r="E284"/>
  <c r="D284"/>
  <c r="C284"/>
  <c r="B284"/>
  <c r="G283"/>
  <c r="E283"/>
  <c r="D283"/>
  <c r="C283"/>
  <c r="B283"/>
  <c r="G282"/>
  <c r="E282"/>
  <c r="D282"/>
  <c r="C282"/>
  <c r="B282"/>
  <c r="G281"/>
  <c r="E281"/>
  <c r="D281"/>
  <c r="C281"/>
  <c r="B281"/>
  <c r="G280"/>
  <c r="E280"/>
  <c r="D280"/>
  <c r="C280"/>
  <c r="B280"/>
  <c r="C279"/>
  <c r="B279"/>
  <c r="D278"/>
  <c r="D277"/>
  <c r="C276"/>
  <c r="B276"/>
  <c r="C275"/>
  <c r="B275"/>
  <c r="C274"/>
  <c r="B274"/>
  <c r="C273"/>
  <c r="B273"/>
  <c r="D272"/>
  <c r="C271"/>
  <c r="B271"/>
  <c r="C270"/>
  <c r="B270"/>
  <c r="C269"/>
  <c r="B269"/>
  <c r="C268"/>
  <c r="B268"/>
  <c r="C267"/>
  <c r="B267"/>
  <c r="C266"/>
  <c r="B266"/>
  <c r="C265"/>
  <c r="B265"/>
  <c r="C264"/>
  <c r="B264"/>
  <c r="C263"/>
  <c r="B263"/>
  <c r="C262"/>
  <c r="B262"/>
  <c r="C261"/>
  <c r="B261"/>
  <c r="D260"/>
  <c r="C259"/>
  <c r="B259"/>
  <c r="C258"/>
  <c r="B258"/>
  <c r="C257"/>
  <c r="B257"/>
  <c r="G256"/>
  <c r="E256"/>
  <c r="D256"/>
  <c r="C256"/>
  <c r="B256"/>
  <c r="G255"/>
  <c r="E255"/>
  <c r="D255"/>
  <c r="C255"/>
  <c r="B255"/>
  <c r="G254"/>
  <c r="E254"/>
  <c r="D254"/>
  <c r="C254"/>
  <c r="B254"/>
  <c r="D253"/>
  <c r="C252"/>
  <c r="B252"/>
  <c r="C251"/>
  <c r="B251"/>
  <c r="C250"/>
  <c r="B250"/>
  <c r="C249"/>
  <c r="B249"/>
  <c r="C248"/>
  <c r="B248"/>
  <c r="C247"/>
  <c r="B247"/>
  <c r="C246"/>
  <c r="B246"/>
  <c r="D245"/>
  <c r="C244"/>
  <c r="B244"/>
  <c r="D243"/>
  <c r="C242"/>
  <c r="B242"/>
  <c r="C241"/>
  <c r="B241"/>
  <c r="C240"/>
  <c r="B240"/>
  <c r="C239"/>
  <c r="B239"/>
  <c r="C238"/>
  <c r="B238"/>
  <c r="C237"/>
  <c r="B237"/>
  <c r="C236"/>
  <c r="B236"/>
  <c r="C235"/>
  <c r="B235"/>
  <c r="C234"/>
  <c r="B234"/>
  <c r="C233"/>
  <c r="B233"/>
  <c r="C232"/>
  <c r="B232"/>
  <c r="D231"/>
  <c r="C230"/>
  <c r="B230"/>
  <c r="C229"/>
  <c r="B229"/>
  <c r="C228"/>
  <c r="B228"/>
  <c r="C227"/>
  <c r="B227"/>
  <c r="C226"/>
  <c r="B226"/>
  <c r="D225"/>
  <c r="D224"/>
  <c r="C223"/>
  <c r="B223"/>
  <c r="C222"/>
  <c r="B222"/>
  <c r="C221"/>
  <c r="B221"/>
  <c r="C220"/>
  <c r="B220"/>
  <c r="C219"/>
  <c r="B219"/>
  <c r="C218"/>
  <c r="B218"/>
  <c r="C217"/>
  <c r="B217"/>
  <c r="C216"/>
  <c r="B216"/>
  <c r="C215"/>
  <c r="B215"/>
  <c r="C214"/>
  <c r="B214"/>
  <c r="C213"/>
  <c r="B213"/>
  <c r="C212"/>
  <c r="B212"/>
  <c r="C211"/>
  <c r="B211"/>
  <c r="C210"/>
  <c r="B210"/>
  <c r="C209"/>
  <c r="B209"/>
  <c r="C208"/>
  <c r="B208"/>
  <c r="C207"/>
  <c r="B207"/>
  <c r="C206"/>
  <c r="B206"/>
  <c r="C205"/>
  <c r="B205"/>
  <c r="C204"/>
  <c r="B204"/>
  <c r="C203"/>
  <c r="B203"/>
  <c r="C202"/>
  <c r="B202"/>
  <c r="C201"/>
  <c r="B201"/>
  <c r="C200"/>
  <c r="B200"/>
  <c r="D199"/>
  <c r="C198"/>
  <c r="B198"/>
  <c r="C197"/>
  <c r="B197"/>
  <c r="C196"/>
  <c r="B196"/>
  <c r="C195"/>
  <c r="B195"/>
  <c r="C194"/>
  <c r="B194"/>
  <c r="C193"/>
  <c r="B193"/>
  <c r="C192"/>
  <c r="B192"/>
  <c r="C191"/>
  <c r="B191"/>
  <c r="C190"/>
  <c r="B190"/>
  <c r="C189"/>
  <c r="B189"/>
  <c r="C188"/>
  <c r="B188"/>
  <c r="C187"/>
  <c r="B187"/>
  <c r="C186"/>
  <c r="B186"/>
  <c r="C185"/>
  <c r="B185"/>
  <c r="C184"/>
  <c r="B184"/>
  <c r="C183"/>
  <c r="B183"/>
  <c r="C182"/>
  <c r="B182"/>
  <c r="C181"/>
  <c r="B181"/>
  <c r="C180"/>
  <c r="B180"/>
  <c r="C179"/>
  <c r="B179"/>
  <c r="C178"/>
  <c r="B178"/>
  <c r="D177"/>
  <c r="C176"/>
  <c r="B176"/>
  <c r="C175"/>
  <c r="B175"/>
  <c r="C174"/>
  <c r="B174"/>
  <c r="C173"/>
  <c r="B173"/>
  <c r="C172"/>
  <c r="B172"/>
  <c r="C171"/>
  <c r="B171"/>
  <c r="C170"/>
  <c r="B170"/>
  <c r="C169"/>
  <c r="B169"/>
  <c r="C168"/>
  <c r="B168"/>
  <c r="C167"/>
  <c r="B167"/>
  <c r="C166"/>
  <c r="B166"/>
  <c r="C165"/>
  <c r="B165"/>
  <c r="C164"/>
  <c r="B164"/>
  <c r="C163"/>
  <c r="B163"/>
  <c r="C162"/>
  <c r="B162"/>
  <c r="C161"/>
  <c r="B161"/>
  <c r="C160"/>
  <c r="B160"/>
  <c r="C159"/>
  <c r="B159"/>
  <c r="C158"/>
  <c r="B158"/>
  <c r="C157"/>
  <c r="B157"/>
  <c r="C156"/>
  <c r="B156"/>
  <c r="C155"/>
  <c r="B155"/>
  <c r="C154"/>
  <c r="B154"/>
  <c r="G153"/>
  <c r="E153"/>
  <c r="D153"/>
  <c r="C153"/>
  <c r="B153"/>
  <c r="C152"/>
  <c r="B152"/>
  <c r="C151"/>
  <c r="B151"/>
  <c r="C150"/>
  <c r="B150"/>
  <c r="C149"/>
  <c r="B149"/>
  <c r="C148"/>
  <c r="B148"/>
  <c r="C147"/>
  <c r="B147"/>
  <c r="D146"/>
  <c r="C145"/>
  <c r="B145"/>
  <c r="C144"/>
  <c r="B144"/>
  <c r="C143"/>
  <c r="B143"/>
  <c r="D142"/>
  <c r="C141"/>
  <c r="B141"/>
  <c r="D140"/>
  <c r="C139"/>
  <c r="B139"/>
  <c r="D138"/>
  <c r="D137"/>
  <c r="C136"/>
  <c r="B136"/>
  <c r="C135"/>
  <c r="B135"/>
  <c r="C134"/>
  <c r="B134"/>
  <c r="C133"/>
  <c r="B133"/>
  <c r="C132"/>
  <c r="B132"/>
  <c r="C131"/>
  <c r="B131"/>
  <c r="C130"/>
  <c r="B130"/>
  <c r="C129"/>
  <c r="B129"/>
  <c r="C128"/>
  <c r="B128"/>
  <c r="C127"/>
  <c r="B127"/>
  <c r="C126"/>
  <c r="B126"/>
  <c r="C125"/>
  <c r="B125"/>
  <c r="C124"/>
  <c r="B124"/>
  <c r="C123"/>
  <c r="B123"/>
  <c r="C122"/>
  <c r="B122"/>
  <c r="C121"/>
  <c r="B121"/>
  <c r="C120"/>
  <c r="B120"/>
  <c r="C119"/>
  <c r="B119"/>
  <c r="C118"/>
  <c r="B118"/>
  <c r="C117"/>
  <c r="B117"/>
  <c r="C116"/>
  <c r="B116"/>
  <c r="C115"/>
  <c r="B115"/>
  <c r="C114"/>
  <c r="B114"/>
  <c r="C113"/>
  <c r="B113"/>
  <c r="D112"/>
  <c r="D111"/>
  <c r="C110"/>
  <c r="B110"/>
  <c r="C109"/>
  <c r="B109"/>
  <c r="C108"/>
  <c r="B108"/>
  <c r="C107"/>
  <c r="B107"/>
  <c r="C106"/>
  <c r="B106"/>
  <c r="D105"/>
  <c r="C104"/>
  <c r="B104"/>
  <c r="C103"/>
  <c r="B103"/>
  <c r="C102"/>
  <c r="B102"/>
  <c r="C101"/>
  <c r="B101"/>
  <c r="C100"/>
  <c r="B100"/>
  <c r="C99"/>
  <c r="B99"/>
  <c r="C98"/>
  <c r="B98"/>
  <c r="C97"/>
  <c r="B97"/>
  <c r="D96"/>
  <c r="C95"/>
  <c r="B95"/>
  <c r="C94"/>
  <c r="B94"/>
  <c r="C93"/>
  <c r="B93"/>
  <c r="C92"/>
  <c r="B92"/>
  <c r="C91"/>
  <c r="B91"/>
  <c r="C90"/>
  <c r="B90"/>
  <c r="C89"/>
  <c r="B89"/>
  <c r="C88"/>
  <c r="B88"/>
  <c r="C87"/>
  <c r="B87"/>
  <c r="D86"/>
  <c r="D85"/>
  <c r="C84"/>
  <c r="B84"/>
  <c r="C83"/>
  <c r="B83"/>
  <c r="C82"/>
  <c r="B82"/>
  <c r="C81"/>
  <c r="B81"/>
  <c r="C80"/>
  <c r="B80"/>
  <c r="C79"/>
  <c r="B79"/>
  <c r="C78"/>
  <c r="B78"/>
  <c r="C77"/>
  <c r="B77"/>
  <c r="C76"/>
  <c r="B76"/>
  <c r="C75"/>
  <c r="B75"/>
  <c r="C74"/>
  <c r="B74"/>
  <c r="C73"/>
  <c r="B73"/>
  <c r="C72"/>
  <c r="B72"/>
  <c r="D71"/>
  <c r="C70"/>
  <c r="B70"/>
  <c r="D69"/>
  <c r="C68"/>
  <c r="B68"/>
  <c r="C67"/>
  <c r="B67"/>
  <c r="C66"/>
  <c r="B66"/>
  <c r="C65"/>
  <c r="B65"/>
  <c r="C64"/>
  <c r="B64"/>
  <c r="D63"/>
  <c r="C62"/>
  <c r="B62"/>
  <c r="C61"/>
  <c r="B61"/>
  <c r="D60"/>
  <c r="C59"/>
  <c r="B59"/>
  <c r="C58"/>
  <c r="B58"/>
  <c r="D57"/>
  <c r="C56"/>
  <c r="B56"/>
  <c r="C55"/>
  <c r="B55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D44"/>
  <c r="C43"/>
  <c r="B43"/>
  <c r="C42"/>
  <c r="B42"/>
  <c r="C41"/>
  <c r="B41"/>
  <c r="C40"/>
  <c r="B40"/>
  <c r="C39"/>
  <c r="B39"/>
  <c r="D38"/>
  <c r="C37"/>
  <c r="B37"/>
  <c r="D36"/>
  <c r="C35"/>
  <c r="B35"/>
  <c r="C34"/>
  <c r="B34"/>
  <c r="C33"/>
  <c r="B33"/>
  <c r="C32"/>
  <c r="B32"/>
  <c r="C31"/>
  <c r="B31"/>
  <c r="C30"/>
  <c r="B30"/>
  <c r="C29"/>
  <c r="B29"/>
  <c r="D28"/>
  <c r="D27"/>
  <c r="C26"/>
  <c r="B26"/>
  <c r="C25"/>
  <c r="B25"/>
  <c r="D24"/>
  <c r="D23"/>
  <c r="C22"/>
  <c r="B22"/>
  <c r="C21"/>
  <c r="B21"/>
  <c r="C20"/>
  <c r="B20"/>
  <c r="C19"/>
  <c r="B19"/>
  <c r="C18"/>
  <c r="B18"/>
  <c r="D17"/>
  <c r="D16"/>
  <c r="C15"/>
  <c r="B15"/>
  <c r="C14"/>
  <c r="B14"/>
  <c r="C13"/>
  <c r="B13"/>
  <c r="C12"/>
  <c r="B12"/>
  <c r="C11"/>
  <c r="B11"/>
  <c r="C10"/>
  <c r="B10"/>
  <c r="B9"/>
  <c r="C9"/>
  <c r="D8"/>
  <c r="B5" i="20"/>
  <c r="B4"/>
  <c r="I8" i="18" s="1"/>
  <c r="N25"/>
  <c r="O25" s="1"/>
  <c r="N24"/>
  <c r="N27" s="1"/>
  <c r="A8" i="19"/>
  <c r="N26" i="18"/>
  <c r="I3" i="19" s="1"/>
  <c r="C44" i="18"/>
  <c r="A39"/>
  <c r="C39" s="1"/>
  <c r="C38"/>
  <c r="I37"/>
  <c r="I35"/>
  <c r="A28"/>
  <c r="A29" s="1"/>
  <c r="M33"/>
  <c r="M32"/>
  <c r="L32"/>
  <c r="I29"/>
  <c r="C1"/>
  <c r="P18" s="1"/>
  <c r="A3"/>
  <c r="A4"/>
  <c r="O27"/>
  <c r="C27"/>
  <c r="A22"/>
  <c r="A23" s="1"/>
  <c r="M22"/>
  <c r="I22"/>
  <c r="M21"/>
  <c r="I21"/>
  <c r="C21"/>
  <c r="M20"/>
  <c r="Q20" s="1"/>
  <c r="I20"/>
  <c r="A15"/>
  <c r="M19"/>
  <c r="I19"/>
  <c r="M18"/>
  <c r="I18"/>
  <c r="C14"/>
  <c r="C13"/>
  <c r="C12"/>
  <c r="C11"/>
  <c r="C10"/>
  <c r="C9"/>
  <c r="C8"/>
  <c r="I5"/>
  <c r="I4"/>
  <c r="N10" i="20"/>
  <c r="B6"/>
  <c r="O42" i="18"/>
  <c r="C15"/>
  <c r="A17"/>
  <c r="C17" s="1"/>
  <c r="F21" i="19"/>
  <c r="F22"/>
  <c r="F11"/>
  <c r="F13"/>
  <c r="F12"/>
  <c r="F9"/>
  <c r="F15"/>
  <c r="F14"/>
  <c r="F10"/>
  <c r="F18"/>
  <c r="F19"/>
  <c r="F20"/>
  <c r="F25"/>
  <c r="F26"/>
  <c r="F29"/>
  <c r="F30"/>
  <c r="F31"/>
  <c r="F32"/>
  <c r="F33"/>
  <c r="F34"/>
  <c r="F35"/>
  <c r="F37"/>
  <c r="F39"/>
  <c r="F40"/>
  <c r="F41"/>
  <c r="F42"/>
  <c r="F43"/>
  <c r="F45"/>
  <c r="F46"/>
  <c r="F47"/>
  <c r="F48"/>
  <c r="F49"/>
  <c r="F50"/>
  <c r="F51"/>
  <c r="F52"/>
  <c r="F53"/>
  <c r="F54"/>
  <c r="F55"/>
  <c r="F56"/>
  <c r="F58"/>
  <c r="F59"/>
  <c r="F61"/>
  <c r="F62"/>
  <c r="F64"/>
  <c r="F65"/>
  <c r="F68"/>
  <c r="F66"/>
  <c r="F67"/>
  <c r="F70"/>
  <c r="F72"/>
  <c r="F73"/>
  <c r="F74"/>
  <c r="F75"/>
  <c r="F76"/>
  <c r="F77"/>
  <c r="F78"/>
  <c r="F79"/>
  <c r="F80"/>
  <c r="F81"/>
  <c r="F82"/>
  <c r="F83"/>
  <c r="F84"/>
  <c r="F87"/>
  <c r="F88"/>
  <c r="F89"/>
  <c r="F90"/>
  <c r="F91"/>
  <c r="F92"/>
  <c r="F93"/>
  <c r="F94"/>
  <c r="F95"/>
  <c r="F97"/>
  <c r="F98"/>
  <c r="F99"/>
  <c r="F100"/>
  <c r="F101"/>
  <c r="F102"/>
  <c r="F103"/>
  <c r="F104"/>
  <c r="F106"/>
  <c r="F107"/>
  <c r="F108"/>
  <c r="F109"/>
  <c r="F110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9"/>
  <c r="F141"/>
  <c r="F143"/>
  <c r="F144"/>
  <c r="F145"/>
  <c r="F147"/>
  <c r="F148"/>
  <c r="F149"/>
  <c r="F150"/>
  <c r="F151"/>
  <c r="F152"/>
  <c r="F153"/>
  <c r="H153"/>
  <c r="F154"/>
  <c r="F155"/>
  <c r="F156"/>
  <c r="F157"/>
  <c r="I153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6"/>
  <c r="F227"/>
  <c r="F228"/>
  <c r="F229"/>
  <c r="F230"/>
  <c r="F232"/>
  <c r="F233"/>
  <c r="F234"/>
  <c r="F235"/>
  <c r="F236"/>
  <c r="F237"/>
  <c r="F238"/>
  <c r="F239"/>
  <c r="F240"/>
  <c r="F241"/>
  <c r="F242"/>
  <c r="F244"/>
  <c r="F246"/>
  <c r="F247"/>
  <c r="F248"/>
  <c r="F249"/>
  <c r="F250"/>
  <c r="F251"/>
  <c r="F252"/>
  <c r="H254"/>
  <c r="F254"/>
  <c r="H255"/>
  <c r="F255"/>
  <c r="H256"/>
  <c r="F256"/>
  <c r="F257"/>
  <c r="I254"/>
  <c r="F258"/>
  <c r="I255"/>
  <c r="F259"/>
  <c r="I256"/>
  <c r="F261"/>
  <c r="F262"/>
  <c r="F263"/>
  <c r="F264"/>
  <c r="F265"/>
  <c r="F266"/>
  <c r="F267"/>
  <c r="F268"/>
  <c r="F269"/>
  <c r="F270"/>
  <c r="F271"/>
  <c r="F273"/>
  <c r="F274"/>
  <c r="F275"/>
  <c r="F276"/>
  <c r="F279"/>
  <c r="H280"/>
  <c r="F280"/>
  <c r="H281"/>
  <c r="F281"/>
  <c r="H282"/>
  <c r="F282"/>
  <c r="H283"/>
  <c r="F283"/>
  <c r="H284"/>
  <c r="I280"/>
  <c r="F284"/>
  <c r="H285"/>
  <c r="I281"/>
  <c r="F285"/>
  <c r="H286"/>
  <c r="I282"/>
  <c r="F286"/>
  <c r="H287"/>
  <c r="I283"/>
  <c r="F287"/>
  <c r="H288"/>
  <c r="I284"/>
  <c r="F288"/>
  <c r="H289"/>
  <c r="I285"/>
  <c r="I287"/>
  <c r="F289"/>
  <c r="I288"/>
  <c r="I286"/>
  <c r="F291"/>
  <c r="I289"/>
  <c r="F292"/>
  <c r="F294"/>
  <c r="F296"/>
  <c r="F297"/>
  <c r="H298"/>
  <c r="F298"/>
  <c r="F300"/>
  <c r="F301"/>
  <c r="I298"/>
  <c r="F303"/>
  <c r="F304"/>
  <c r="F305"/>
  <c r="F306"/>
  <c r="H308"/>
  <c r="F308"/>
  <c r="H309"/>
  <c r="F309"/>
  <c r="H310"/>
  <c r="F310"/>
  <c r="H311"/>
  <c r="F311"/>
  <c r="I308"/>
  <c r="I309"/>
  <c r="F314"/>
  <c r="F313"/>
  <c r="I310"/>
  <c r="F315"/>
  <c r="I311"/>
  <c r="F316"/>
  <c r="F317"/>
  <c r="F318"/>
  <c r="F319"/>
  <c r="F320"/>
  <c r="F321"/>
  <c r="F322"/>
  <c r="F324"/>
  <c r="F323"/>
  <c r="F325"/>
  <c r="F326"/>
  <c r="F327"/>
  <c r="F328"/>
  <c r="F329"/>
  <c r="F331"/>
  <c r="F332"/>
  <c r="F333"/>
  <c r="F334"/>
  <c r="F335"/>
  <c r="F337"/>
  <c r="C25" i="20"/>
  <c r="I307" i="19"/>
  <c r="E311"/>
  <c r="E309"/>
  <c r="E310"/>
  <c r="E308"/>
  <c r="D59"/>
  <c r="E66"/>
  <c r="D55"/>
  <c r="E61"/>
  <c r="D19"/>
  <c r="D20"/>
  <c r="E14"/>
  <c r="D21"/>
  <c r="E18"/>
  <c r="D34"/>
  <c r="E41"/>
  <c r="E10"/>
  <c r="E13"/>
  <c r="E40"/>
  <c r="D30"/>
  <c r="E35"/>
  <c r="E53"/>
  <c r="E25"/>
  <c r="E49"/>
  <c r="E9"/>
  <c r="E33"/>
  <c r="D46"/>
  <c r="D70"/>
  <c r="E68"/>
  <c r="E67"/>
  <c r="D72"/>
  <c r="D97"/>
  <c r="D317"/>
  <c r="E189"/>
  <c r="E315"/>
  <c r="E329"/>
  <c r="E107"/>
  <c r="E208"/>
  <c r="E306"/>
  <c r="E175"/>
  <c r="D170"/>
  <c r="D262"/>
  <c r="D296"/>
  <c r="D141"/>
  <c r="E162"/>
  <c r="D252"/>
  <c r="D321"/>
  <c r="E104"/>
  <c r="E240"/>
  <c r="E183"/>
  <c r="E130"/>
  <c r="E304"/>
  <c r="E91"/>
  <c r="D204"/>
  <c r="E192"/>
  <c r="E155"/>
  <c r="E166"/>
  <c r="E125"/>
  <c r="E323"/>
  <c r="E136"/>
  <c r="D197"/>
  <c r="D305"/>
  <c r="D190"/>
  <c r="E129"/>
  <c r="D219"/>
  <c r="D291"/>
  <c r="D89"/>
  <c r="E182"/>
  <c r="D191"/>
  <c r="D159"/>
  <c r="D108"/>
  <c r="E154"/>
  <c r="D81"/>
  <c r="E274"/>
  <c r="D115"/>
  <c r="E233"/>
  <c r="E266"/>
  <c r="E93"/>
  <c r="D186"/>
  <c r="D216"/>
  <c r="D214"/>
  <c r="E158"/>
  <c r="E324"/>
  <c r="D76"/>
  <c r="D117"/>
  <c r="D127"/>
  <c r="E263"/>
  <c r="E173"/>
  <c r="D132"/>
  <c r="E209"/>
  <c r="E102"/>
  <c r="E194"/>
  <c r="D95"/>
  <c r="D157"/>
  <c r="D116"/>
  <c r="E185"/>
  <c r="E267"/>
  <c r="D119"/>
  <c r="E83"/>
  <c r="D247"/>
  <c r="E334"/>
  <c r="E322"/>
  <c r="E128"/>
  <c r="E221"/>
  <c r="D109"/>
  <c r="E229"/>
  <c r="D120"/>
  <c r="D218"/>
  <c r="E227"/>
  <c r="D217"/>
  <c r="E270"/>
  <c r="D88"/>
  <c r="D160"/>
  <c r="E239"/>
  <c r="D90"/>
  <c r="E184"/>
  <c r="E131"/>
  <c r="D328"/>
  <c r="D264"/>
  <c r="E144"/>
  <c r="E210"/>
  <c r="E232"/>
  <c r="E101"/>
  <c r="D172"/>
  <c r="E134"/>
  <c r="E331"/>
  <c r="D123"/>
  <c r="D276"/>
  <c r="E188"/>
  <c r="E271"/>
  <c r="E333"/>
  <c r="E106"/>
  <c r="D176"/>
  <c r="D258"/>
  <c r="E59"/>
  <c r="D65"/>
  <c r="E64"/>
  <c r="D66"/>
  <c r="D61"/>
  <c r="E43"/>
  <c r="D14"/>
  <c r="E11"/>
  <c r="D47"/>
  <c r="D18"/>
  <c r="E48"/>
  <c r="D41"/>
  <c r="E31"/>
  <c r="D13"/>
  <c r="E15"/>
  <c r="E50"/>
  <c r="E30"/>
  <c r="E26"/>
  <c r="D12"/>
  <c r="D53"/>
  <c r="E39"/>
  <c r="D49"/>
  <c r="D32"/>
  <c r="D33"/>
  <c r="E51"/>
  <c r="E70"/>
  <c r="E73"/>
  <c r="D67"/>
  <c r="E98"/>
  <c r="E97"/>
  <c r="E314"/>
  <c r="D161"/>
  <c r="E317"/>
  <c r="D181"/>
  <c r="D211"/>
  <c r="E238"/>
  <c r="D269"/>
  <c r="D208"/>
  <c r="E205"/>
  <c r="D94"/>
  <c r="E200"/>
  <c r="D162"/>
  <c r="D327"/>
  <c r="D163"/>
  <c r="D143"/>
  <c r="E220"/>
  <c r="E320"/>
  <c r="D275"/>
  <c r="E145"/>
  <c r="D236"/>
  <c r="D77"/>
  <c r="D301"/>
  <c r="D192"/>
  <c r="D155"/>
  <c r="E332"/>
  <c r="E99"/>
  <c r="E215"/>
  <c r="E244"/>
  <c r="D323"/>
  <c r="E250"/>
  <c r="D136"/>
  <c r="E237"/>
  <c r="D228"/>
  <c r="E305"/>
  <c r="D261"/>
  <c r="D207"/>
  <c r="D294"/>
  <c r="E291"/>
  <c r="D251"/>
  <c r="E191"/>
  <c r="E159"/>
  <c r="D242"/>
  <c r="E319"/>
  <c r="D274"/>
  <c r="E165"/>
  <c r="D174"/>
  <c r="E114"/>
  <c r="D223"/>
  <c r="E300"/>
  <c r="D93"/>
  <c r="E78"/>
  <c r="E149"/>
  <c r="E214"/>
  <c r="D248"/>
  <c r="E76"/>
  <c r="E135"/>
  <c r="E127"/>
  <c r="E100"/>
  <c r="E147"/>
  <c r="E121"/>
  <c r="D173"/>
  <c r="D241"/>
  <c r="E132"/>
  <c r="E164"/>
  <c r="E265"/>
  <c r="E226"/>
  <c r="D185"/>
  <c r="E171"/>
  <c r="E119"/>
  <c r="E148"/>
  <c r="E247"/>
  <c r="D334"/>
  <c r="D169"/>
  <c r="E303"/>
  <c r="E118"/>
  <c r="E87"/>
  <c r="D110"/>
  <c r="D316"/>
  <c r="D227"/>
  <c r="E122"/>
  <c r="E201"/>
  <c r="E88"/>
  <c r="E160"/>
  <c r="E90"/>
  <c r="D184"/>
  <c r="D230"/>
  <c r="E328"/>
  <c r="E326"/>
  <c r="D144"/>
  <c r="E297"/>
  <c r="D313"/>
  <c r="D331"/>
  <c r="D212"/>
  <c r="E124"/>
  <c r="E193"/>
  <c r="E156"/>
  <c r="D271"/>
  <c r="E279"/>
  <c r="E318"/>
  <c r="E195"/>
  <c r="D167"/>
  <c r="D106"/>
  <c r="E176"/>
  <c r="E62"/>
  <c r="D58"/>
  <c r="E65"/>
  <c r="E54"/>
  <c r="D64"/>
  <c r="E56"/>
  <c r="E29"/>
  <c r="D43"/>
  <c r="D11"/>
  <c r="E47"/>
  <c r="E22"/>
  <c r="D48"/>
  <c r="E45"/>
  <c r="D31"/>
  <c r="D50"/>
  <c r="E12"/>
  <c r="D37"/>
  <c r="D39"/>
  <c r="D52"/>
  <c r="E32"/>
  <c r="E42"/>
  <c r="D51"/>
  <c r="E74"/>
  <c r="D73"/>
  <c r="E325"/>
  <c r="D98"/>
  <c r="E249"/>
  <c r="E161"/>
  <c r="D189"/>
  <c r="E181"/>
  <c r="D150"/>
  <c r="D315"/>
  <c r="D198"/>
  <c r="E269"/>
  <c r="D306"/>
  <c r="D205"/>
  <c r="D175"/>
  <c r="E337"/>
  <c r="E94"/>
  <c r="E296"/>
  <c r="E180"/>
  <c r="E141"/>
  <c r="E327"/>
  <c r="E321"/>
  <c r="E143"/>
  <c r="D220"/>
  <c r="E235"/>
  <c r="D183"/>
  <c r="D130"/>
  <c r="E80"/>
  <c r="D145"/>
  <c r="E77"/>
  <c r="D304"/>
  <c r="D257"/>
  <c r="D332"/>
  <c r="D244"/>
  <c r="D268"/>
  <c r="D187"/>
  <c r="D139"/>
  <c r="E228"/>
  <c r="E207"/>
  <c r="E294"/>
  <c r="D319"/>
  <c r="E113"/>
  <c r="D203"/>
  <c r="E115"/>
  <c r="D233"/>
  <c r="D266"/>
  <c r="E84"/>
  <c r="E133"/>
  <c r="E223"/>
  <c r="D78"/>
  <c r="D149"/>
  <c r="E248"/>
  <c r="D324"/>
  <c r="E117"/>
  <c r="D100"/>
  <c r="D263"/>
  <c r="E79"/>
  <c r="D206"/>
  <c r="D202"/>
  <c r="E92"/>
  <c r="D164"/>
  <c r="D194"/>
  <c r="D265"/>
  <c r="D226"/>
  <c r="D222"/>
  <c r="E259"/>
  <c r="E116"/>
  <c r="D267"/>
  <c r="D171"/>
  <c r="D178"/>
  <c r="D128"/>
  <c r="E168"/>
  <c r="D118"/>
  <c r="D229"/>
  <c r="D273"/>
  <c r="E120"/>
  <c r="D234"/>
  <c r="E316"/>
  <c r="D179"/>
  <c r="D270"/>
  <c r="E103"/>
  <c r="D201"/>
  <c r="E75"/>
  <c r="D335"/>
  <c r="E152"/>
  <c r="E230"/>
  <c r="D292"/>
  <c r="D326"/>
  <c r="D297"/>
  <c r="D232"/>
  <c r="E172"/>
  <c r="D134"/>
  <c r="E213"/>
  <c r="D196"/>
  <c r="D193"/>
  <c r="E82"/>
  <c r="D156"/>
  <c r="D318"/>
  <c r="D126"/>
  <c r="D246"/>
  <c r="D151"/>
  <c r="D62"/>
  <c r="E58"/>
  <c r="D54"/>
  <c r="E55"/>
  <c r="D56"/>
  <c r="E19"/>
  <c r="E20"/>
  <c r="D29"/>
  <c r="E21"/>
  <c r="E34"/>
  <c r="D22"/>
  <c r="D10"/>
  <c r="D45"/>
  <c r="D40"/>
  <c r="D15"/>
  <c r="D35"/>
  <c r="D26"/>
  <c r="D25"/>
  <c r="E37"/>
  <c r="D9"/>
  <c r="E52"/>
  <c r="E46"/>
  <c r="D42"/>
  <c r="D68"/>
  <c r="D74"/>
  <c r="E72"/>
  <c r="D325"/>
  <c r="D249"/>
  <c r="D314"/>
  <c r="E211"/>
  <c r="E150"/>
  <c r="D238"/>
  <c r="D329"/>
  <c r="D107"/>
  <c r="E198"/>
  <c r="E170"/>
  <c r="E262"/>
  <c r="D337"/>
  <c r="D200"/>
  <c r="D180"/>
  <c r="E252"/>
  <c r="E163"/>
  <c r="D104"/>
  <c r="D320"/>
  <c r="D240"/>
  <c r="D235"/>
  <c r="E275"/>
  <c r="D80"/>
  <c r="E236"/>
  <c r="D91"/>
  <c r="E204"/>
  <c r="E301"/>
  <c r="D166"/>
  <c r="E257"/>
  <c r="D99"/>
  <c r="D125"/>
  <c r="D215"/>
  <c r="D250"/>
  <c r="E268"/>
  <c r="E187"/>
  <c r="D237"/>
  <c r="E197"/>
  <c r="E139"/>
  <c r="E190"/>
  <c r="E261"/>
  <c r="D129"/>
  <c r="E219"/>
  <c r="E89"/>
  <c r="D182"/>
  <c r="E251"/>
  <c r="E108"/>
  <c r="D154"/>
  <c r="E242"/>
  <c r="E81"/>
  <c r="D113"/>
  <c r="E203"/>
  <c r="D165"/>
  <c r="E174"/>
  <c r="D114"/>
  <c r="D84"/>
  <c r="D133"/>
  <c r="D300"/>
  <c r="E186"/>
  <c r="E216"/>
  <c r="D158"/>
  <c r="D135"/>
  <c r="D147"/>
  <c r="D121"/>
  <c r="D79"/>
  <c r="E241"/>
  <c r="E206"/>
  <c r="E202"/>
  <c r="D209"/>
  <c r="D92"/>
  <c r="D102"/>
  <c r="E95"/>
  <c r="E157"/>
  <c r="E222"/>
  <c r="D259"/>
  <c r="D148"/>
  <c r="D83"/>
  <c r="E178"/>
  <c r="D322"/>
  <c r="E169"/>
  <c r="D303"/>
  <c r="D221"/>
  <c r="D168"/>
  <c r="E109"/>
  <c r="E273"/>
  <c r="D87"/>
  <c r="E218"/>
  <c r="E110"/>
  <c r="E234"/>
  <c r="E217"/>
  <c r="E179"/>
  <c r="D122"/>
  <c r="D103"/>
  <c r="D239"/>
  <c r="D75"/>
  <c r="E335"/>
  <c r="D131"/>
  <c r="D152"/>
  <c r="E264"/>
  <c r="E292"/>
  <c r="D210"/>
  <c r="D101"/>
  <c r="E313"/>
  <c r="E123"/>
  <c r="E212"/>
  <c r="D213"/>
  <c r="E196"/>
  <c r="D124"/>
  <c r="E276"/>
  <c r="D188"/>
  <c r="D82"/>
  <c r="D333"/>
  <c r="D279"/>
  <c r="D195"/>
  <c r="E167"/>
  <c r="E126"/>
  <c r="E246"/>
  <c r="E258"/>
  <c r="E151"/>
  <c r="G249"/>
  <c r="G161"/>
  <c r="G211"/>
  <c r="G150"/>
  <c r="G269"/>
  <c r="G200"/>
  <c r="G163"/>
  <c r="G320"/>
  <c r="G275"/>
  <c r="G236"/>
  <c r="G99"/>
  <c r="G250"/>
  <c r="G268"/>
  <c r="G237"/>
  <c r="G228"/>
  <c r="G207"/>
  <c r="G319"/>
  <c r="G113"/>
  <c r="G165"/>
  <c r="G114"/>
  <c r="G84"/>
  <c r="G300"/>
  <c r="G100"/>
  <c r="G147"/>
  <c r="G121"/>
  <c r="G241"/>
  <c r="G206"/>
  <c r="G202"/>
  <c r="G164"/>
  <c r="G226"/>
  <c r="G148"/>
  <c r="G303"/>
  <c r="G118"/>
  <c r="G87"/>
  <c r="G316"/>
  <c r="G122"/>
  <c r="G103"/>
  <c r="G230"/>
  <c r="G326"/>
  <c r="G213"/>
  <c r="G193"/>
  <c r="G156"/>
  <c r="G195"/>
  <c r="G167"/>
  <c r="G126"/>
  <c r="G62"/>
  <c r="G19"/>
  <c r="G37"/>
  <c r="G325"/>
  <c r="G315"/>
  <c r="G329"/>
  <c r="G175"/>
  <c r="G170"/>
  <c r="G180"/>
  <c r="G141"/>
  <c r="G321"/>
  <c r="G235"/>
  <c r="G183"/>
  <c r="G80"/>
  <c r="G304"/>
  <c r="G91"/>
  <c r="G139"/>
  <c r="G129"/>
  <c r="G89"/>
  <c r="G108"/>
  <c r="G81"/>
  <c r="G203"/>
  <c r="G115"/>
  <c r="G266"/>
  <c r="G133"/>
  <c r="G324"/>
  <c r="G79"/>
  <c r="G92"/>
  <c r="G102"/>
  <c r="G95"/>
  <c r="G116"/>
  <c r="G128"/>
  <c r="G168"/>
  <c r="G109"/>
  <c r="G273"/>
  <c r="G120"/>
  <c r="G234"/>
  <c r="G270"/>
  <c r="G152"/>
  <c r="G292"/>
  <c r="G232"/>
  <c r="G101"/>
  <c r="G134"/>
  <c r="G196"/>
  <c r="G276"/>
  <c r="G82"/>
  <c r="G246"/>
  <c r="G59"/>
  <c r="G61"/>
  <c r="G20"/>
  <c r="G21"/>
  <c r="G10"/>
  <c r="G15"/>
  <c r="G26"/>
  <c r="G25"/>
  <c r="G314"/>
  <c r="G238"/>
  <c r="G107"/>
  <c r="G262"/>
  <c r="G252"/>
  <c r="G104"/>
  <c r="G240"/>
  <c r="G204"/>
  <c r="G301"/>
  <c r="G192"/>
  <c r="G166"/>
  <c r="G125"/>
  <c r="G215"/>
  <c r="G323"/>
  <c r="G136"/>
  <c r="G190"/>
  <c r="G261"/>
  <c r="G219"/>
  <c r="G291"/>
  <c r="G182"/>
  <c r="G251"/>
  <c r="G191"/>
  <c r="G159"/>
  <c r="G242"/>
  <c r="G274"/>
  <c r="G174"/>
  <c r="G186"/>
  <c r="G216"/>
  <c r="G158"/>
  <c r="G135"/>
  <c r="G127"/>
  <c r="G173"/>
  <c r="G209"/>
  <c r="G157"/>
  <c r="G119"/>
  <c r="G83"/>
  <c r="G247"/>
  <c r="G322"/>
  <c r="G169"/>
  <c r="G110"/>
  <c r="G88"/>
  <c r="G239"/>
  <c r="G90"/>
  <c r="G131"/>
  <c r="G264"/>
  <c r="G210"/>
  <c r="G313"/>
  <c r="G123"/>
  <c r="G212"/>
  <c r="G124"/>
  <c r="G188"/>
  <c r="G279"/>
  <c r="G106"/>
  <c r="G11"/>
  <c r="G18"/>
  <c r="G317"/>
  <c r="G189"/>
  <c r="G208"/>
  <c r="G306"/>
  <c r="G205"/>
  <c r="G296"/>
  <c r="G162"/>
  <c r="G327"/>
  <c r="G143"/>
  <c r="G130"/>
  <c r="G77"/>
  <c r="G244"/>
  <c r="G305"/>
  <c r="G294"/>
  <c r="G233"/>
  <c r="G93"/>
  <c r="G78"/>
  <c r="G214"/>
  <c r="G248"/>
  <c r="G117"/>
  <c r="G263"/>
  <c r="G132"/>
  <c r="G194"/>
  <c r="G265"/>
  <c r="G185"/>
  <c r="G267"/>
  <c r="G171"/>
  <c r="G229"/>
  <c r="G227"/>
  <c r="G201"/>
  <c r="G160"/>
  <c r="G184"/>
  <c r="G328"/>
  <c r="G297"/>
  <c r="G172"/>
  <c r="G271"/>
  <c r="G176"/>
  <c r="H271"/>
  <c r="H185"/>
  <c r="H305"/>
  <c r="H143"/>
  <c r="H162"/>
  <c r="H205"/>
  <c r="H317"/>
  <c r="H123"/>
  <c r="H131"/>
  <c r="H110"/>
  <c r="H174"/>
  <c r="H242"/>
  <c r="H182"/>
  <c r="H219"/>
  <c r="H190"/>
  <c r="H192"/>
  <c r="H238"/>
  <c r="H25"/>
  <c r="H21"/>
  <c r="H246"/>
  <c r="H134"/>
  <c r="H232"/>
  <c r="H152"/>
  <c r="H273"/>
  <c r="H168"/>
  <c r="H102"/>
  <c r="H139"/>
  <c r="H304"/>
  <c r="H321"/>
  <c r="H175"/>
  <c r="H315"/>
  <c r="H62"/>
  <c r="H167"/>
  <c r="H213"/>
  <c r="H122"/>
  <c r="H303"/>
  <c r="H226"/>
  <c r="H202"/>
  <c r="H241"/>
  <c r="H114"/>
  <c r="H207"/>
  <c r="H237"/>
  <c r="H250"/>
  <c r="H200"/>
  <c r="H161"/>
  <c r="H328"/>
  <c r="H160"/>
  <c r="H265"/>
  <c r="H117"/>
  <c r="H214"/>
  <c r="H244"/>
  <c r="H327"/>
  <c r="H306"/>
  <c r="H18"/>
  <c r="H90"/>
  <c r="H169"/>
  <c r="H209"/>
  <c r="H127"/>
  <c r="H158"/>
  <c r="H274"/>
  <c r="H159"/>
  <c r="H291"/>
  <c r="H136"/>
  <c r="H215"/>
  <c r="H301"/>
  <c r="H240"/>
  <c r="H107"/>
  <c r="H314"/>
  <c r="H20"/>
  <c r="H59"/>
  <c r="H82"/>
  <c r="H270"/>
  <c r="H109"/>
  <c r="H266"/>
  <c r="H203"/>
  <c r="H141"/>
  <c r="H325"/>
  <c r="H19"/>
  <c r="H195"/>
  <c r="H326"/>
  <c r="H118"/>
  <c r="H164"/>
  <c r="H121"/>
  <c r="H165"/>
  <c r="H319"/>
  <c r="H228"/>
  <c r="H99"/>
  <c r="H275"/>
  <c r="H163"/>
  <c r="H249"/>
  <c r="H297"/>
  <c r="H184"/>
  <c r="H201"/>
  <c r="H229"/>
  <c r="H171"/>
  <c r="H194"/>
  <c r="H263"/>
  <c r="H248"/>
  <c r="H78"/>
  <c r="H233"/>
  <c r="H77"/>
  <c r="H208"/>
  <c r="H11"/>
  <c r="H279"/>
  <c r="H124"/>
  <c r="H210"/>
  <c r="H239"/>
  <c r="H322"/>
  <c r="H83"/>
  <c r="H157"/>
  <c r="H173"/>
  <c r="H135"/>
  <c r="H216"/>
  <c r="H191"/>
  <c r="H323"/>
  <c r="H125"/>
  <c r="H204"/>
  <c r="H104"/>
  <c r="H262"/>
  <c r="H15"/>
  <c r="H61"/>
  <c r="H276"/>
  <c r="H234"/>
  <c r="H116"/>
  <c r="H79"/>
  <c r="H133"/>
  <c r="H115"/>
  <c r="H81"/>
  <c r="H89"/>
  <c r="H183"/>
  <c r="H180"/>
  <c r="H37"/>
  <c r="H156"/>
  <c r="H230"/>
  <c r="H87"/>
  <c r="H147"/>
  <c r="H300"/>
  <c r="H113"/>
  <c r="H236"/>
  <c r="H320"/>
  <c r="H150"/>
  <c r="H176"/>
  <c r="H172"/>
  <c r="H227"/>
  <c r="H267"/>
  <c r="H132"/>
  <c r="H93"/>
  <c r="H294"/>
  <c r="H130"/>
  <c r="H296"/>
  <c r="H189"/>
  <c r="H106"/>
  <c r="H188"/>
  <c r="H212"/>
  <c r="H313"/>
  <c r="H264"/>
  <c r="H88"/>
  <c r="H247"/>
  <c r="H119"/>
  <c r="H186"/>
  <c r="H251"/>
  <c r="H261"/>
  <c r="H166"/>
  <c r="H252"/>
  <c r="H26"/>
  <c r="H10"/>
  <c r="H196"/>
  <c r="H101"/>
  <c r="H292"/>
  <c r="H120"/>
  <c r="H128"/>
  <c r="H95"/>
  <c r="H92"/>
  <c r="H324"/>
  <c r="H108"/>
  <c r="H129"/>
  <c r="H91"/>
  <c r="H80"/>
  <c r="H235"/>
  <c r="H170"/>
  <c r="H329"/>
  <c r="H126"/>
  <c r="H193"/>
  <c r="H103"/>
  <c r="H316"/>
  <c r="H148"/>
  <c r="H206"/>
  <c r="H100"/>
  <c r="H84"/>
  <c r="H268"/>
  <c r="H269"/>
  <c r="H211"/>
  <c r="I11"/>
  <c r="I323"/>
  <c r="I180"/>
  <c r="I236"/>
  <c r="I130"/>
  <c r="I251"/>
  <c r="I329"/>
  <c r="I316"/>
  <c r="I269"/>
  <c r="I305"/>
  <c r="I174"/>
  <c r="I190"/>
  <c r="I134"/>
  <c r="I315"/>
  <c r="I241"/>
  <c r="I306"/>
  <c r="I159"/>
  <c r="I301"/>
  <c r="I109"/>
  <c r="I319"/>
  <c r="I201"/>
  <c r="I239"/>
  <c r="I173"/>
  <c r="I204"/>
  <c r="I234"/>
  <c r="I115"/>
  <c r="I87"/>
  <c r="I172"/>
  <c r="I93"/>
  <c r="I313"/>
  <c r="I119"/>
  <c r="I196"/>
  <c r="I128"/>
  <c r="I108"/>
  <c r="I235"/>
  <c r="I242"/>
  <c r="I25"/>
  <c r="I304"/>
  <c r="I303"/>
  <c r="I162"/>
  <c r="I21"/>
  <c r="I139"/>
  <c r="I167"/>
  <c r="I207"/>
  <c r="I161"/>
  <c r="I117"/>
  <c r="I158"/>
  <c r="I20"/>
  <c r="I325"/>
  <c r="I121"/>
  <c r="I297"/>
  <c r="I263"/>
  <c r="I200"/>
  <c r="I327"/>
  <c r="I274"/>
  <c r="I59"/>
  <c r="I266"/>
  <c r="I326"/>
  <c r="I184"/>
  <c r="I279"/>
  <c r="I191"/>
  <c r="I15"/>
  <c r="I133"/>
  <c r="I113"/>
  <c r="I176"/>
  <c r="I264"/>
  <c r="I252"/>
  <c r="I120"/>
  <c r="I100"/>
  <c r="I211"/>
  <c r="I143"/>
  <c r="I123"/>
  <c r="I192"/>
  <c r="I273"/>
  <c r="I175"/>
  <c r="I114"/>
  <c r="I328"/>
  <c r="I18"/>
  <c r="I17" s="1"/>
  <c r="I291"/>
  <c r="I314"/>
  <c r="I164"/>
  <c r="I275"/>
  <c r="I229"/>
  <c r="I248"/>
  <c r="I210"/>
  <c r="I135"/>
  <c r="I276"/>
  <c r="I183"/>
  <c r="I129"/>
  <c r="I170"/>
  <c r="I103"/>
  <c r="I317"/>
  <c r="I168"/>
  <c r="I321"/>
  <c r="I226"/>
  <c r="I250"/>
  <c r="I160"/>
  <c r="I90"/>
  <c r="I107"/>
  <c r="I203"/>
  <c r="I118"/>
  <c r="I163"/>
  <c r="I171"/>
  <c r="I77"/>
  <c r="I124"/>
  <c r="I61"/>
  <c r="I156"/>
  <c r="I150"/>
  <c r="I189"/>
  <c r="I26"/>
  <c r="I193"/>
  <c r="I206"/>
  <c r="I271"/>
  <c r="I131"/>
  <c r="I182"/>
  <c r="I238"/>
  <c r="I152"/>
  <c r="I122"/>
  <c r="I244"/>
  <c r="I209"/>
  <c r="I136"/>
  <c r="I82"/>
  <c r="I195"/>
  <c r="I99"/>
  <c r="I78"/>
  <c r="I83"/>
  <c r="I216"/>
  <c r="I262"/>
  <c r="I79"/>
  <c r="I89"/>
  <c r="I300"/>
  <c r="I267"/>
  <c r="I188"/>
  <c r="I88"/>
  <c r="I166"/>
  <c r="I292"/>
  <c r="I92"/>
  <c r="I91"/>
  <c r="I84"/>
  <c r="I219"/>
  <c r="I232"/>
  <c r="I213"/>
  <c r="I202"/>
  <c r="I214"/>
  <c r="I127"/>
  <c r="I215"/>
  <c r="I270"/>
  <c r="I19"/>
  <c r="I165"/>
  <c r="I233"/>
  <c r="I157"/>
  <c r="I104"/>
  <c r="I116"/>
  <c r="I37"/>
  <c r="I320"/>
  <c r="I296"/>
  <c r="I186"/>
  <c r="I101"/>
  <c r="I95"/>
  <c r="I268"/>
  <c r="I185"/>
  <c r="I205"/>
  <c r="I110"/>
  <c r="I246"/>
  <c r="I102"/>
  <c r="I62"/>
  <c r="I237"/>
  <c r="I265"/>
  <c r="I169"/>
  <c r="I240"/>
  <c r="I141"/>
  <c r="I228"/>
  <c r="I249"/>
  <c r="I194"/>
  <c r="I208"/>
  <c r="I125"/>
  <c r="I81"/>
  <c r="I230"/>
  <c r="I227"/>
  <c r="I294"/>
  <c r="I212"/>
  <c r="I261"/>
  <c r="I80"/>
  <c r="I126"/>
  <c r="I148"/>
  <c r="I147"/>
  <c r="I106"/>
  <c r="I247"/>
  <c r="I10"/>
  <c r="G74"/>
  <c r="G53"/>
  <c r="G45"/>
  <c r="G52"/>
  <c r="G259"/>
  <c r="G33"/>
  <c r="I138"/>
  <c r="I36"/>
  <c r="I293"/>
  <c r="I295"/>
  <c r="I278"/>
  <c r="I324"/>
  <c r="I322"/>
  <c r="I132"/>
  <c r="I302"/>
  <c r="I243"/>
  <c r="I140"/>
  <c r="I290"/>
  <c r="I260"/>
  <c r="I299"/>
  <c r="I245"/>
  <c r="I225"/>
  <c r="I231"/>
  <c r="I60"/>
  <c r="I112"/>
  <c r="I24"/>
  <c r="G43"/>
  <c r="G76"/>
  <c r="G221"/>
  <c r="G154"/>
  <c r="G335"/>
  <c r="G97"/>
  <c r="G46"/>
  <c r="G333"/>
  <c r="G178"/>
  <c r="G40"/>
  <c r="G66"/>
  <c r="G49"/>
  <c r="G94"/>
  <c r="G50"/>
  <c r="G318"/>
  <c r="G51"/>
  <c r="G332"/>
  <c r="G29"/>
  <c r="G179"/>
  <c r="G98"/>
  <c r="G334"/>
  <c r="G39"/>
  <c r="G258"/>
  <c r="G73"/>
  <c r="G222"/>
  <c r="G47"/>
  <c r="G13"/>
  <c r="G35"/>
  <c r="G144"/>
  <c r="G56"/>
  <c r="G72"/>
  <c r="G337"/>
  <c r="G54"/>
  <c r="G181"/>
  <c r="G198"/>
  <c r="G12"/>
  <c r="G151"/>
  <c r="G217"/>
  <c r="G31"/>
  <c r="G149"/>
  <c r="G220"/>
  <c r="G65"/>
  <c r="G58"/>
  <c r="H52"/>
  <c r="H45"/>
  <c r="H33"/>
  <c r="H53"/>
  <c r="H259"/>
  <c r="H74"/>
  <c r="I277"/>
  <c r="C24" i="20"/>
  <c r="G24" s="1"/>
  <c r="I272" i="19"/>
  <c r="C23" i="20"/>
  <c r="K23"/>
  <c r="C18"/>
  <c r="K18" s="1"/>
  <c r="I18"/>
  <c r="I111" i="19"/>
  <c r="C17" i="20"/>
  <c r="I17" s="1"/>
  <c r="I105" i="19"/>
  <c r="I23"/>
  <c r="C12" i="20"/>
  <c r="G12"/>
  <c r="G197" i="19"/>
  <c r="G30"/>
  <c r="G145"/>
  <c r="G67"/>
  <c r="G55"/>
  <c r="G75"/>
  <c r="G223"/>
  <c r="G155"/>
  <c r="G14"/>
  <c r="G48"/>
  <c r="G32"/>
  <c r="G70"/>
  <c r="G41"/>
  <c r="G218"/>
  <c r="G257"/>
  <c r="G42"/>
  <c r="G34"/>
  <c r="G22"/>
  <c r="H149"/>
  <c r="H12"/>
  <c r="H337"/>
  <c r="H35"/>
  <c r="H73"/>
  <c r="H98"/>
  <c r="H51"/>
  <c r="H49"/>
  <c r="H333"/>
  <c r="H154"/>
  <c r="H58"/>
  <c r="H31"/>
  <c r="H198"/>
  <c r="H72"/>
  <c r="H13"/>
  <c r="H258"/>
  <c r="H179"/>
  <c r="H318"/>
  <c r="H66"/>
  <c r="H46"/>
  <c r="H221"/>
  <c r="H65"/>
  <c r="H217"/>
  <c r="H181"/>
  <c r="H56"/>
  <c r="H47"/>
  <c r="H39"/>
  <c r="H29"/>
  <c r="H50"/>
  <c r="H40"/>
  <c r="H97"/>
  <c r="H76"/>
  <c r="H220"/>
  <c r="H151"/>
  <c r="H54"/>
  <c r="H144"/>
  <c r="H222"/>
  <c r="H334"/>
  <c r="H332"/>
  <c r="H94"/>
  <c r="H178"/>
  <c r="H335"/>
  <c r="H43"/>
  <c r="I53"/>
  <c r="I33"/>
  <c r="I52"/>
  <c r="I74"/>
  <c r="I45"/>
  <c r="G187"/>
  <c r="G68"/>
  <c r="G64"/>
  <c r="G331"/>
  <c r="G9"/>
  <c r="H42"/>
  <c r="H70"/>
  <c r="H155"/>
  <c r="H67"/>
  <c r="I49"/>
  <c r="H257"/>
  <c r="H32"/>
  <c r="H223"/>
  <c r="H145"/>
  <c r="I258"/>
  <c r="H22"/>
  <c r="H218"/>
  <c r="H48"/>
  <c r="H75"/>
  <c r="H30"/>
  <c r="H34"/>
  <c r="H41"/>
  <c r="H14"/>
  <c r="H55"/>
  <c r="H197"/>
  <c r="I54"/>
  <c r="I12"/>
  <c r="I259"/>
  <c r="I151"/>
  <c r="I154"/>
  <c r="I47"/>
  <c r="I72"/>
  <c r="I50"/>
  <c r="I58"/>
  <c r="I179"/>
  <c r="I56"/>
  <c r="I144"/>
  <c r="I46"/>
  <c r="I222"/>
  <c r="I181"/>
  <c r="I76"/>
  <c r="I333"/>
  <c r="I217"/>
  <c r="I97"/>
  <c r="I220"/>
  <c r="I31"/>
  <c r="I43"/>
  <c r="I51"/>
  <c r="I198"/>
  <c r="I39"/>
  <c r="I94"/>
  <c r="I35"/>
  <c r="I149"/>
  <c r="I73"/>
  <c r="I66"/>
  <c r="I29"/>
  <c r="I221"/>
  <c r="I334"/>
  <c r="I332"/>
  <c r="I98"/>
  <c r="I65"/>
  <c r="I40"/>
  <c r="I318"/>
  <c r="I178"/>
  <c r="I13"/>
  <c r="I335"/>
  <c r="I67"/>
  <c r="H331"/>
  <c r="I86"/>
  <c r="H64"/>
  <c r="H68"/>
  <c r="I57"/>
  <c r="H9"/>
  <c r="H187"/>
  <c r="I337"/>
  <c r="I22"/>
  <c r="I223"/>
  <c r="I197"/>
  <c r="I96"/>
  <c r="I218"/>
  <c r="I41"/>
  <c r="I42"/>
  <c r="I257"/>
  <c r="I14"/>
  <c r="I75"/>
  <c r="I34"/>
  <c r="I155"/>
  <c r="I32"/>
  <c r="I55"/>
  <c r="I70"/>
  <c r="I48"/>
  <c r="I145"/>
  <c r="I30"/>
  <c r="I253"/>
  <c r="I44"/>
  <c r="I16"/>
  <c r="C26" i="20"/>
  <c r="G26" s="1"/>
  <c r="I312" i="19"/>
  <c r="I85"/>
  <c r="C16" i="20"/>
  <c r="E16" s="1"/>
  <c r="O16" s="1"/>
  <c r="K16"/>
  <c r="C28"/>
  <c r="K28" s="1"/>
  <c r="G28"/>
  <c r="I336" i="19"/>
  <c r="I38"/>
  <c r="I68"/>
  <c r="I146"/>
  <c r="I331"/>
  <c r="I64"/>
  <c r="I187"/>
  <c r="I28"/>
  <c r="I142"/>
  <c r="I9"/>
  <c r="I8" s="1"/>
  <c r="I63"/>
  <c r="C11" i="20"/>
  <c r="C19"/>
  <c r="G19" s="1"/>
  <c r="I137" i="19"/>
  <c r="I177"/>
  <c r="C20" i="20"/>
  <c r="G20" s="1"/>
  <c r="C15"/>
  <c r="G15" s="1"/>
  <c r="I71" i="19"/>
  <c r="C22" i="20"/>
  <c r="G22" s="1"/>
  <c r="I224" i="19"/>
  <c r="C21" i="20"/>
  <c r="E21" s="1"/>
  <c r="O21" s="1"/>
  <c r="I199" i="19"/>
  <c r="I69"/>
  <c r="C14" i="20"/>
  <c r="G14" s="1"/>
  <c r="H338" i="19"/>
  <c r="I27"/>
  <c r="C13" i="20"/>
  <c r="C27"/>
  <c r="I27" s="1"/>
  <c r="I330" i="19"/>
  <c r="M18" i="20"/>
  <c r="E18"/>
  <c r="O18" s="1"/>
  <c r="G18"/>
  <c r="I25"/>
  <c r="G25"/>
  <c r="M25"/>
  <c r="K25"/>
  <c r="E25"/>
  <c r="O25" s="1"/>
  <c r="E28"/>
  <c r="O28" s="1"/>
  <c r="A40" i="18"/>
  <c r="C40" s="1"/>
  <c r="C3"/>
  <c r="P20" s="1"/>
  <c r="K12" i="20"/>
  <c r="G16"/>
  <c r="I12"/>
  <c r="I14"/>
  <c r="E12"/>
  <c r="M23"/>
  <c r="M16"/>
  <c r="I23"/>
  <c r="M22"/>
  <c r="I22"/>
  <c r="E22"/>
  <c r="O22" s="1"/>
  <c r="K22"/>
  <c r="I11"/>
  <c r="E11"/>
  <c r="O11" s="1"/>
  <c r="G11"/>
  <c r="M11"/>
  <c r="K11"/>
  <c r="G17"/>
  <c r="M13"/>
  <c r="E13"/>
  <c r="O13" s="1"/>
  <c r="K13"/>
  <c r="I13"/>
  <c r="G13"/>
  <c r="C10"/>
  <c r="C29" s="1"/>
  <c r="C4" i="18"/>
  <c r="A5"/>
  <c r="A6" s="1"/>
  <c r="M28" i="20"/>
  <c r="E20"/>
  <c r="O20" s="1"/>
  <c r="K14"/>
  <c r="I16"/>
  <c r="E23"/>
  <c r="O23" s="1"/>
  <c r="G23"/>
  <c r="M12"/>
  <c r="I28"/>
  <c r="E24"/>
  <c r="O24" s="1"/>
  <c r="C22" i="18"/>
  <c r="O12" i="20"/>
  <c r="C5" i="18"/>
  <c r="R21"/>
  <c r="C29" l="1"/>
  <c r="A32"/>
  <c r="C23"/>
  <c r="A24"/>
  <c r="C6"/>
  <c r="Q26" s="1"/>
  <c r="A7"/>
  <c r="C7" s="1"/>
  <c r="R26" s="1"/>
  <c r="R19"/>
  <c r="C28"/>
  <c r="E10" i="20"/>
  <c r="E14"/>
  <c r="O14" s="1"/>
  <c r="P19" i="18"/>
  <c r="M10" i="20"/>
  <c r="M29" s="1"/>
  <c r="L29" s="1"/>
  <c r="M15"/>
  <c r="R20" i="18"/>
  <c r="I26" i="20"/>
  <c r="A18" i="18"/>
  <c r="Q19"/>
  <c r="A41"/>
  <c r="R18"/>
  <c r="P22"/>
  <c r="G10" i="20"/>
  <c r="G29" s="1"/>
  <c r="I20"/>
  <c r="R22" i="18"/>
  <c r="Q21"/>
  <c r="Q18"/>
  <c r="P21"/>
  <c r="Q22"/>
  <c r="K19" i="20"/>
  <c r="K21"/>
  <c r="I21"/>
  <c r="I19"/>
  <c r="M19"/>
  <c r="G27"/>
  <c r="K27"/>
  <c r="E27"/>
  <c r="O27" s="1"/>
  <c r="M21"/>
  <c r="M27"/>
  <c r="G21"/>
  <c r="E19"/>
  <c r="O19" s="1"/>
  <c r="I24"/>
  <c r="K17"/>
  <c r="K15"/>
  <c r="I10"/>
  <c r="I29" s="1"/>
  <c r="K10"/>
  <c r="K29" s="1"/>
  <c r="K24"/>
  <c r="K26"/>
  <c r="E17"/>
  <c r="O17" s="1"/>
  <c r="M14"/>
  <c r="E26"/>
  <c r="O26" s="1"/>
  <c r="M24"/>
  <c r="M17"/>
  <c r="K20"/>
  <c r="E15"/>
  <c r="O15" s="1"/>
  <c r="I15"/>
  <c r="M26"/>
  <c r="M20"/>
  <c r="C18" i="18" l="1"/>
  <c r="A19"/>
  <c r="C32"/>
  <c r="A33"/>
  <c r="C41"/>
  <c r="A42"/>
  <c r="C24"/>
  <c r="A25"/>
  <c r="P26"/>
  <c r="O26" s="1"/>
  <c r="V27" s="1"/>
  <c r="E29" i="20"/>
  <c r="D29" s="1"/>
  <c r="O10"/>
  <c r="O29" s="1"/>
  <c r="N29" s="1"/>
  <c r="A20" i="18" l="1"/>
  <c r="C20" s="1"/>
  <c r="C19"/>
  <c r="C42"/>
  <c r="A43"/>
  <c r="C43" s="1"/>
  <c r="A34"/>
  <c r="C34" s="1"/>
  <c r="C33"/>
  <c r="A26"/>
  <c r="C26" s="1"/>
  <c r="C25"/>
</calcChain>
</file>

<file path=xl/sharedStrings.xml><?xml version="1.0" encoding="utf-8"?>
<sst xmlns="http://schemas.openxmlformats.org/spreadsheetml/2006/main" count="508" uniqueCount="375">
  <si>
    <t>Item</t>
  </si>
  <si>
    <t>Unid</t>
  </si>
  <si>
    <t>BDI:</t>
  </si>
  <si>
    <t>Obra:</t>
  </si>
  <si>
    <t>Mês Base SINAPI:</t>
  </si>
  <si>
    <t>Local:</t>
  </si>
  <si>
    <t>Município:</t>
  </si>
  <si>
    <t>Planilha Orçamentária</t>
  </si>
  <si>
    <t>Fonte</t>
  </si>
  <si>
    <t>Código</t>
  </si>
  <si>
    <t>Descrição dos Serviços</t>
  </si>
  <si>
    <t>Quant</t>
  </si>
  <si>
    <t>Total                    (R$)</t>
  </si>
  <si>
    <t>1.0</t>
  </si>
  <si>
    <t>2.0</t>
  </si>
  <si>
    <t>CRONOGRAMA FÍSICO FINANCEIRO</t>
  </si>
  <si>
    <t>Custo</t>
  </si>
  <si>
    <t>1º Parcela</t>
  </si>
  <si>
    <t>2º Parcela</t>
  </si>
  <si>
    <t>TOTAL ACUMULADO</t>
  </si>
  <si>
    <t>Total (R$)</t>
  </si>
  <si>
    <t>%</t>
  </si>
  <si>
    <t>Valor</t>
  </si>
  <si>
    <t>V.Total(R$)</t>
  </si>
  <si>
    <t>Total Geral</t>
  </si>
  <si>
    <t>Construção e Reforma de Edifícios</t>
  </si>
  <si>
    <t>AC</t>
  </si>
  <si>
    <t>SG</t>
  </si>
  <si>
    <t>R</t>
  </si>
  <si>
    <t>PROPONENTE / TOMADOR</t>
  </si>
  <si>
    <t>DF</t>
  </si>
  <si>
    <t>Prefeitura Municipal de Rosário do Sul</t>
  </si>
  <si>
    <t>L</t>
  </si>
  <si>
    <t>BDI PAD</t>
  </si>
  <si>
    <t>OBJETO</t>
  </si>
  <si>
    <t>Construção de Praças Urbanas, Rodovias, Ferrovias e recapeamento e pavimentação de vias urbanas</t>
  </si>
  <si>
    <t>TIPO DE OBRA DO EMPREENDIMENTO</t>
  </si>
  <si>
    <t>DESONERAÇÃO</t>
  </si>
  <si>
    <t>Não</t>
  </si>
  <si>
    <t>Conforme legislação tributária municipal, definir estimativa de percentual da base de cálculo para o ISS:</t>
  </si>
  <si>
    <t>Construção de Redes de Abastecimento de Água, Coleta de Esgoto</t>
  </si>
  <si>
    <t>Sobre a base de cálculo, definir a respectiva alíquota do ISS (entre 2% e 5%):</t>
  </si>
  <si>
    <t>Itens</t>
  </si>
  <si>
    <t>Siglas</t>
  </si>
  <si>
    <t>% Adotado</t>
  </si>
  <si>
    <t>Situação</t>
  </si>
  <si>
    <t>1º Quartil</t>
  </si>
  <si>
    <t>Médio</t>
  </si>
  <si>
    <t>3º Quartil</t>
  </si>
  <si>
    <t>-</t>
  </si>
  <si>
    <t>Construção e Manutenção de Estações e Redes de Distribuição de Energia Elétrica</t>
  </si>
  <si>
    <t>Tributos (impostos COFINS 3%, e  PIS 0,65%)</t>
  </si>
  <si>
    <t>CP</t>
  </si>
  <si>
    <t>Tributos (ISS, variável de acordo com o município)</t>
  </si>
  <si>
    <t>ISS</t>
  </si>
  <si>
    <t>Tributos (Contribuição Previdenciária sobre a Receita Bruta - 0% ou 4,5% - Desoneração)</t>
  </si>
  <si>
    <t>CPRB</t>
  </si>
  <si>
    <t>BDI SEM desoneração
(Fórmula Acórdão TCU)</t>
  </si>
  <si>
    <t>Obras Portuárias, Marítimas e Fluviais</t>
  </si>
  <si>
    <t>BDI COM desoneração</t>
  </si>
  <si>
    <t>BDI DES</t>
  </si>
  <si>
    <t>pedir anexo</t>
  </si>
  <si>
    <t>Anexo: Relatório Técnico Circunstanciado justificando a adoção do percentual de cada parcela do BDI.</t>
  </si>
  <si>
    <t>anexo apresentado</t>
  </si>
  <si>
    <t>Os valores de BDI foram calculados com o emprego da fórmula:</t>
  </si>
  <si>
    <t xml:space="preserve"> - 1</t>
  </si>
  <si>
    <t>Fornecimento de Materiais e Equipamentos (aquisição indireta - em conjunto com licitação de obras)</t>
  </si>
  <si>
    <t>Observações:</t>
  </si>
  <si>
    <t>Rosário do Sul - RS,</t>
  </si>
  <si>
    <t>Local</t>
  </si>
  <si>
    <t>Data</t>
  </si>
  <si>
    <t>Estudos e Projetos, Planos e Gerenciamento e outros correlatos</t>
  </si>
  <si>
    <t>K1</t>
  </si>
  <si>
    <t>Fornecimento de Materiais e Equipamentos (aquisição direta)</t>
  </si>
  <si>
    <t>3.0</t>
  </si>
  <si>
    <t>QUADRO DE COMPOSIÇÃO DO BDI - BASE DE DESPESAS INDIRETAS</t>
  </si>
  <si>
    <t>4.0</t>
  </si>
  <si>
    <t>5.0</t>
  </si>
  <si>
    <t>6.0</t>
  </si>
  <si>
    <t>7.0</t>
  </si>
  <si>
    <t xml:space="preserve">FINALIZAÇÃO DA CONSTRUÇÃO DA CRECHE PRÓ-INFANCIA TIPO II </t>
  </si>
  <si>
    <t>RUA MACEIÓ ESQ. RIO DE JANEIRO, S/N, VILA NOVA.</t>
  </si>
  <si>
    <t>ROSÁRIO DO SUL -RS</t>
  </si>
  <si>
    <t>1.1</t>
  </si>
  <si>
    <t>1.2</t>
  </si>
  <si>
    <t>1.3</t>
  </si>
  <si>
    <t>1.4</t>
  </si>
  <si>
    <t>1.5</t>
  </si>
  <si>
    <t>1.6</t>
  </si>
  <si>
    <t>1.7</t>
  </si>
  <si>
    <t>2.1</t>
  </si>
  <si>
    <t>2.1.1</t>
  </si>
  <si>
    <t>2.2.1</t>
  </si>
  <si>
    <t>2.2.2</t>
  </si>
  <si>
    <t>2.2.3</t>
  </si>
  <si>
    <t>2.2.4</t>
  </si>
  <si>
    <t>3.1</t>
  </si>
  <si>
    <t>3.1.1</t>
  </si>
  <si>
    <t>3.1.2</t>
  </si>
  <si>
    <t>4.1</t>
  </si>
  <si>
    <t>4.1.1</t>
  </si>
  <si>
    <t>4.1.2</t>
  </si>
  <si>
    <t>4.1.3</t>
  </si>
  <si>
    <t>4.1.4</t>
  </si>
  <si>
    <t>4.1.5</t>
  </si>
  <si>
    <t>4.1.6</t>
  </si>
  <si>
    <t>4.1.7</t>
  </si>
  <si>
    <t>5.1</t>
  </si>
  <si>
    <t>4.2</t>
  </si>
  <si>
    <t>4.2.1</t>
  </si>
  <si>
    <t>4.3</t>
  </si>
  <si>
    <t>4.3.1</t>
  </si>
  <si>
    <t>4.3.2</t>
  </si>
  <si>
    <t>4.3.3</t>
  </si>
  <si>
    <t>4.3.4</t>
  </si>
  <si>
    <t>4.3.5</t>
  </si>
  <si>
    <t>4.4</t>
  </si>
  <si>
    <t>4.4.1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</si>
  <si>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</si>
  <si>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</si>
  <si>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</si>
  <si>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</si>
  <si>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</si>
  <si>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</si>
  <si>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</si>
  <si>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</si>
  <si>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4.4.10</t>
  </si>
  <si>
    <t>4.4.11</t>
  </si>
  <si>
    <t>4.4.12</t>
  </si>
  <si>
    <t>4.5</t>
  </si>
  <si>
    <t>4.5.1</t>
  </si>
  <si>
    <t>4.5.2</t>
  </si>
  <si>
    <t>4.6</t>
  </si>
  <si>
    <t>4.6.1</t>
  </si>
  <si>
    <t>4.6.2</t>
  </si>
  <si>
    <t>4.6.3</t>
  </si>
  <si>
    <t>4.6.4</t>
  </si>
  <si>
    <t>4.6.5</t>
  </si>
  <si>
    <t>6.</t>
  </si>
  <si>
    <t>6.1.</t>
  </si>
  <si>
    <t>7.</t>
  </si>
  <si>
    <t>7.1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</si>
  <si>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</si>
  <si>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</si>
  <si>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</si>
  <si>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</si>
  <si>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</si>
  <si>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</si>
  <si>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</si>
  <si>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</si>
  <si>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</si>
  <si>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7.2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</si>
  <si>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</si>
  <si>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</si>
  <si>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</si>
  <si>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</si>
  <si>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</si>
  <si>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</si>
  <si>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</si>
  <si>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</si>
  <si>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8.1</t>
  </si>
  <si>
    <t>8.2</t>
  </si>
  <si>
    <t>8.3</t>
  </si>
  <si>
    <t>8.4</t>
  </si>
  <si>
    <t>8.5</t>
  </si>
  <si>
    <t>9.1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</si>
  <si>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</si>
  <si>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</si>
  <si>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</si>
  <si>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</si>
  <si>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</si>
  <si>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</si>
  <si>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</si>
  <si>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</si>
  <si>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</si>
  <si>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</si>
  <si>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</si>
  <si>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</si>
  <si>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9.1.13</t>
  </si>
  <si>
    <t>9.1.14</t>
  </si>
  <si>
    <t>9.1.15</t>
  </si>
  <si>
    <t>9.1.16</t>
  </si>
  <si>
    <t>9.1.17</t>
  </si>
  <si>
    <t>9.1.18</t>
  </si>
  <si>
    <t>9.1.19</t>
  </si>
  <si>
    <t>9.1.20</t>
  </si>
  <si>
    <t>9.1.21</t>
  </si>
  <si>
    <t>9.1.22</t>
  </si>
  <si>
    <t>9.1.23</t>
  </si>
  <si>
    <t>9.1.24</t>
  </si>
  <si>
    <t>10.1</t>
  </si>
  <si>
    <t>10.1.1</t>
  </si>
  <si>
    <t>11.1</t>
  </si>
  <si>
    <t>12.1</t>
  </si>
  <si>
    <t>13.1</t>
  </si>
  <si>
    <t>13.2</t>
  </si>
  <si>
    <t>13.3</t>
  </si>
  <si>
    <t>13.4</t>
  </si>
  <si>
    <t>13.5</t>
  </si>
  <si>
    <t>13.6</t>
  </si>
  <si>
    <t>14.1</t>
  </si>
  <si>
    <t>14.2</t>
  </si>
  <si>
    <t>14.3</t>
  </si>
  <si>
    <t>14.4</t>
  </si>
  <si>
    <t>15.1</t>
  </si>
  <si>
    <t>15.2</t>
  </si>
  <si>
    <t>15.3</t>
  </si>
  <si>
    <t>15.4</t>
  </si>
  <si>
    <t>15.5</t>
  </si>
  <si>
    <t>15.6</t>
  </si>
  <si>
    <t>16.1</t>
  </si>
  <si>
    <t>16.2</t>
  </si>
  <si>
    <t>16.3</t>
  </si>
  <si>
    <t>16.4</t>
  </si>
  <si>
    <t>10.2</t>
  </si>
  <si>
    <t>10.2.1</t>
  </si>
  <si>
    <t>10.3</t>
  </si>
  <si>
    <t>10.3.1</t>
  </si>
  <si>
    <t>10.3.2</t>
  </si>
  <si>
    <t>10.3.3</t>
  </si>
  <si>
    <t>10.4</t>
  </si>
  <si>
    <t>10.4.1</t>
  </si>
  <si>
    <t>10.4.2</t>
  </si>
  <si>
    <t>10.4.3</t>
  </si>
  <si>
    <t>10.4.4</t>
  </si>
  <si>
    <t>10.4.5</t>
  </si>
  <si>
    <t>10.4.6</t>
  </si>
  <si>
    <t>10.4.7</t>
  </si>
  <si>
    <t>10.4.8</t>
  </si>
  <si>
    <t>10.4.9</t>
  </si>
  <si>
    <t>10.4.10</t>
  </si>
  <si>
    <t>10.4.11</t>
  </si>
  <si>
    <t>10.4.12</t>
  </si>
  <si>
    <t>10.4.13</t>
  </si>
  <si>
    <t>10.4.14</t>
  </si>
  <si>
    <t>10.4.15</t>
  </si>
  <si>
    <t>10.4.16</t>
  </si>
  <si>
    <t>10.4.17</t>
  </si>
  <si>
    <t>10.4.18</t>
  </si>
  <si>
    <t>10.4.19</t>
  </si>
  <si>
    <t>10.4.20</t>
  </si>
  <si>
    <t>10.4.21</t>
  </si>
  <si>
    <t>10.4.22</t>
  </si>
  <si>
    <t>10.4.23</t>
  </si>
  <si>
    <t>10.4.24</t>
  </si>
  <si>
    <t>10.4.25</t>
  </si>
  <si>
    <t>10.4.26</t>
  </si>
  <si>
    <t>10.4.27</t>
  </si>
  <si>
    <t>10.4.28</t>
  </si>
  <si>
    <t>10.4.29</t>
  </si>
  <si>
    <t>10.4.30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</si>
  <si>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</si>
  <si>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</si>
  <si>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</si>
  <si>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</si>
  <si>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</si>
  <si>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</si>
  <si>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</si>
  <si>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</si>
  <si>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</si>
  <si>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</si>
  <si>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</si>
  <si>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</si>
  <si>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</si>
  <si>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</si>
  <si>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</si>
  <si>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</si>
  <si>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</si>
  <si>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</si>
  <si>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</si>
  <si>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</si>
  <si>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</si>
  <si>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</si>
  <si>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</si>
  <si>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</si>
  <si>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</si>
  <si>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</si>
  <si>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</si>
  <si>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</si>
  <si>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</si>
  <si>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</si>
  <si>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</si>
  <si>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</si>
  <si>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</si>
  <si>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</si>
  <si>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</si>
  <si>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</si>
  <si>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</si>
  <si>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</si>
  <si>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</si>
  <si>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</si>
  <si>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</si>
  <si>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</si>
  <si>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</si>
  <si>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13.1.1</t>
  </si>
  <si>
    <t>13.1.2</t>
  </si>
  <si>
    <t>13.1.3</t>
  </si>
  <si>
    <t>13.1.4</t>
  </si>
  <si>
    <t>13.1.5</t>
  </si>
  <si>
    <t>13.2.1</t>
  </si>
  <si>
    <t>13.3.1</t>
  </si>
  <si>
    <t>13.4.1</t>
  </si>
  <si>
    <t>13.5.1</t>
  </si>
  <si>
    <t>13.6.1</t>
  </si>
  <si>
    <t>15.1.1</t>
  </si>
  <si>
    <t>15.1.2</t>
  </si>
  <si>
    <t>15.1.3</t>
  </si>
  <si>
    <t>15.1.4</t>
  </si>
  <si>
    <t>15.1.5</t>
  </si>
  <si>
    <t>15.1.6</t>
  </si>
  <si>
    <t>15.1.7</t>
  </si>
  <si>
    <t>15.1.8</t>
  </si>
  <si>
    <t>15.1.9</t>
  </si>
  <si>
    <t>15.1.10</t>
  </si>
  <si>
    <t>15.1.11</t>
  </si>
  <si>
    <t>15.2.1</t>
  </si>
  <si>
    <t>15.2.2</t>
  </si>
  <si>
    <t>15.3.1</t>
  </si>
  <si>
    <t>15.4.1</t>
  </si>
  <si>
    <t>15.4.2</t>
  </si>
  <si>
    <t>15.4.3</t>
  </si>
  <si>
    <t>15.5.1</t>
  </si>
  <si>
    <t>15.5.2</t>
  </si>
  <si>
    <t>15.6.1</t>
  </si>
  <si>
    <t>15.6.2</t>
  </si>
  <si>
    <t>15.6.3</t>
  </si>
  <si>
    <t>15.6.4</t>
  </si>
  <si>
    <t>17.1.</t>
  </si>
  <si>
    <t>18.1</t>
  </si>
  <si>
    <t>18.2</t>
  </si>
  <si>
    <t>18.3</t>
  </si>
  <si>
    <t>18.4</t>
  </si>
  <si>
    <t>18.5</t>
  </si>
  <si>
    <t>19.1.</t>
  </si>
  <si>
    <t>CUSTO TOTAL</t>
  </si>
  <si>
    <t>Preço Unitário</t>
  </si>
  <si>
    <t>Preço Unit. + BDI (R$)</t>
  </si>
  <si>
    <t xml:space="preserve">SERVIÇOS PRELIMINARES </t>
  </si>
  <si>
    <t xml:space="preserve">SUPERESTRUTURA </t>
  </si>
  <si>
    <t>SISTEMA DE VEDAÇÃO VERTICAL INTERNO E EXTERNO (PAREDES)</t>
  </si>
  <si>
    <t xml:space="preserve">ESQUADRIAS </t>
  </si>
  <si>
    <t xml:space="preserve">SISTEMAS DE COBERTURA </t>
  </si>
  <si>
    <t>REVESTIMENTOS INTERNOS E EXTERNOS</t>
  </si>
  <si>
    <t>SISTEMAS DE PISOS INTERNOS E EXTERNOS (PAVIMENTAÇÃO)</t>
  </si>
  <si>
    <t xml:space="preserve">PINTURA </t>
  </si>
  <si>
    <t xml:space="preserve">INSTALAÇÃO HIDRÁULICA </t>
  </si>
  <si>
    <t>DRENAGEM DE ÁGUAS PLUVIAIS</t>
  </si>
  <si>
    <t>INSTALAÇÃO DE GÁS COMBUSTÍVEL</t>
  </si>
  <si>
    <t>SISTEMA DE PROTEÇÃO CONTRA INCÊNDIO</t>
  </si>
  <si>
    <t>INSTALAÇÕES ELÉTRICAS - 220V</t>
  </si>
  <si>
    <t>INSTALAÇÕES DE CLIMATIZAÇÃO</t>
  </si>
  <si>
    <t>INSTALAÇÕES DE REDE ESTRUTURADA</t>
  </si>
  <si>
    <t>SISTEMA DE EXAUSTÃO MECÂNICA</t>
  </si>
  <si>
    <t>SISTEMA DE PROTEÇÃO CONTRA DESCARGAS ATMOSFÉRICAS (SPDA)</t>
  </si>
  <si>
    <t>SERVIÇOS COMPLEMENTARES</t>
  </si>
  <si>
    <t>SERVIÇOS FINAIS</t>
  </si>
  <si>
    <t>10.0</t>
  </si>
  <si>
    <t>8.0</t>
  </si>
  <si>
    <t>9.0</t>
  </si>
  <si>
    <t>11.0</t>
  </si>
  <si>
    <t>12.0</t>
  </si>
  <si>
    <t>13.0</t>
  </si>
  <si>
    <t>14.0</t>
  </si>
  <si>
    <t>15.0</t>
  </si>
  <si>
    <t>16.0</t>
  </si>
  <si>
    <t>17.0</t>
  </si>
  <si>
    <t>18.0</t>
  </si>
  <si>
    <t>19.0</t>
  </si>
  <si>
    <t>3º Parcela</t>
  </si>
  <si>
    <t>4º Parcela</t>
  </si>
  <si>
    <t>5º Parcela</t>
  </si>
  <si>
    <t>ENG.º CIVIL PETRONIO PIRES FACIN</t>
  </si>
  <si>
    <t>CREA/RS 157.681 - PORTARIA Nº 0580/ 2013</t>
  </si>
  <si>
    <t>PREFEITO MARCOS PAULO SILVA DA LUZ</t>
  </si>
  <si>
    <t>PREFEITURA MUNICIPAL DE ROSÁRIO DO SUL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</si>
</sst>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64" formatCode="mmmm/yyyy"/>
    <numFmt numFmtId="165" formatCode="_(* #,##0.00_);_(* \(#,##0.00\);_(* &quot;-&quot;??_);_(@_)"/>
    <numFmt numFmtId="166" formatCode="[$-F800]dddd\,\ mmmm\ dd\,\ yyyy"/>
    <numFmt numFmtId="167" formatCode="_(&quot;R$ &quot;* #,##0.00_);_(&quot;R$ &quot;* \(#,##0.00\);_(&quot;R$ &quot;* &quot;-&quot;??_);_(@_)"/>
    <numFmt numFmtId="168" formatCode="General;General;"/>
    <numFmt numFmtId="169" formatCode="dd\ &quot;de&quot;\ mmmm\ &quot;de&quot;\ yyyy"/>
    <numFmt numFmtId="170" formatCode="#,#00"/>
  </numFmts>
  <fonts count="26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u/>
      <sz val="15"/>
      <name val="Arial"/>
      <family val="2"/>
    </font>
    <font>
      <b/>
      <sz val="11"/>
      <name val="Arial"/>
      <family val="2"/>
    </font>
    <font>
      <b/>
      <sz val="20"/>
      <color indexed="10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1"/>
      <color indexed="9"/>
      <name val="Arial"/>
      <family val="2"/>
    </font>
    <font>
      <b/>
      <sz val="11"/>
      <color indexed="12"/>
      <name val="Arial"/>
      <family val="2"/>
    </font>
    <font>
      <b/>
      <sz val="18"/>
      <name val="Arial"/>
      <family val="2"/>
    </font>
    <font>
      <sz val="10.5"/>
      <name val="Arial"/>
      <family val="2"/>
    </font>
    <font>
      <i/>
      <sz val="12"/>
      <name val="Calibri"/>
      <family val="2"/>
    </font>
    <font>
      <i/>
      <u/>
      <sz val="12"/>
      <name val="Calibri"/>
      <family val="2"/>
    </font>
    <font>
      <u/>
      <sz val="10"/>
      <name val="Arial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7" fontId="9" fillId="0" borderId="0" applyFont="0" applyFill="0" applyBorder="0" applyAlignment="0" applyProtection="0"/>
    <xf numFmtId="0" fontId="9" fillId="0" borderId="0"/>
    <xf numFmtId="0" fontId="8" fillId="0" borderId="0"/>
    <xf numFmtId="43" fontId="3" fillId="0" borderId="0" applyFont="0" applyFill="0" applyBorder="0" applyAlignment="0" applyProtection="0"/>
  </cellStyleXfs>
  <cellXfs count="209">
    <xf numFmtId="0" fontId="0" fillId="0" borderId="0" xfId="0"/>
    <xf numFmtId="4" fontId="6" fillId="0" borderId="1" xfId="0" applyNumberFormat="1" applyFont="1" applyFill="1" applyBorder="1" applyAlignment="1">
      <alignment vertical="top"/>
    </xf>
    <xf numFmtId="4" fontId="6" fillId="2" borderId="0" xfId="0" applyNumberFormat="1" applyFont="1" applyFill="1"/>
    <xf numFmtId="0" fontId="6" fillId="2" borderId="0" xfId="0" applyFont="1" applyFill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right" vertical="center"/>
    </xf>
    <xf numFmtId="10" fontId="7" fillId="0" borderId="4" xfId="0" applyNumberFormat="1" applyFont="1" applyFill="1" applyBorder="1" applyAlignment="1">
      <alignment horizontal="left" vertical="center"/>
    </xf>
    <xf numFmtId="0" fontId="6" fillId="2" borderId="5" xfId="0" applyFont="1" applyFill="1" applyBorder="1"/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/>
    <xf numFmtId="0" fontId="6" fillId="2" borderId="6" xfId="0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/>
    <xf numFmtId="0" fontId="6" fillId="2" borderId="6" xfId="0" applyFont="1" applyFill="1" applyBorder="1" applyAlignment="1">
      <alignment vertical="center"/>
    </xf>
    <xf numFmtId="10" fontId="6" fillId="2" borderId="4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/>
    <xf numFmtId="0" fontId="6" fillId="2" borderId="0" xfId="0" applyFont="1" applyFill="1" applyAlignme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65" fontId="9" fillId="0" borderId="0" xfId="4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9" fontId="9" fillId="0" borderId="0" xfId="4" applyNumberFormat="1" applyFont="1" applyBorder="1" applyAlignment="1">
      <alignment horizontal="left" vertical="center"/>
    </xf>
    <xf numFmtId="9" fontId="9" fillId="0" borderId="0" xfId="4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165" fontId="9" fillId="0" borderId="0" xfId="4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65" fontId="9" fillId="3" borderId="8" xfId="4" applyNumberFormat="1" applyFont="1" applyFill="1" applyBorder="1" applyAlignment="1">
      <alignment horizontal="center" vertical="center"/>
    </xf>
    <xf numFmtId="4" fontId="9" fillId="3" borderId="9" xfId="0" applyNumberFormat="1" applyFont="1" applyFill="1" applyBorder="1" applyAlignment="1">
      <alignment horizontal="center" vertical="center"/>
    </xf>
    <xf numFmtId="4" fontId="9" fillId="3" borderId="10" xfId="0" applyNumberFormat="1" applyFont="1" applyFill="1" applyBorder="1" applyAlignment="1">
      <alignment horizontal="center"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3" fontId="9" fillId="0" borderId="0" xfId="0" applyNumberFormat="1" applyFont="1" applyAlignment="1">
      <alignment horizontal="center" vertical="center"/>
    </xf>
    <xf numFmtId="0" fontId="9" fillId="0" borderId="0" xfId="2" applyFont="1" applyProtection="1"/>
    <xf numFmtId="0" fontId="11" fillId="0" borderId="10" xfId="2" applyFont="1" applyBorder="1" applyAlignment="1" applyProtection="1">
      <alignment horizontal="center"/>
    </xf>
    <xf numFmtId="10" fontId="12" fillId="0" borderId="10" xfId="2" applyNumberFormat="1" applyFont="1" applyFill="1" applyBorder="1" applyAlignment="1" applyProtection="1">
      <alignment horizontal="center"/>
    </xf>
    <xf numFmtId="0" fontId="13" fillId="0" borderId="0" xfId="2" applyFont="1" applyAlignment="1" applyProtection="1"/>
    <xf numFmtId="0" fontId="11" fillId="0" borderId="0" xfId="2" applyFont="1" applyProtection="1"/>
    <xf numFmtId="0" fontId="11" fillId="0" borderId="10" xfId="2" applyFont="1" applyFill="1" applyBorder="1" applyAlignment="1" applyProtection="1">
      <alignment horizontal="center" vertical="center" wrapText="1"/>
    </xf>
    <xf numFmtId="0" fontId="11" fillId="0" borderId="0" xfId="3" applyFont="1" applyBorder="1" applyAlignment="1" applyProtection="1">
      <alignment horizontal="left" vertical="top"/>
    </xf>
    <xf numFmtId="4" fontId="14" fillId="0" borderId="10" xfId="2" applyNumberFormat="1" applyFont="1" applyFill="1" applyBorder="1" applyAlignment="1" applyProtection="1">
      <alignment horizontal="center" vertical="center" wrapText="1"/>
    </xf>
    <xf numFmtId="0" fontId="15" fillId="0" borderId="0" xfId="2" applyFont="1" applyAlignment="1" applyProtection="1">
      <alignment vertical="top" wrapText="1"/>
    </xf>
    <xf numFmtId="0" fontId="16" fillId="0" borderId="10" xfId="2" applyFont="1" applyBorder="1" applyAlignment="1" applyProtection="1">
      <alignment horizontal="center" vertical="center"/>
    </xf>
    <xf numFmtId="10" fontId="16" fillId="3" borderId="10" xfId="2" applyNumberFormat="1" applyFont="1" applyFill="1" applyBorder="1" applyAlignment="1" applyProtection="1">
      <alignment horizontal="center" vertical="center"/>
      <protection locked="0"/>
    </xf>
    <xf numFmtId="4" fontId="14" fillId="0" borderId="10" xfId="2" applyNumberFormat="1" applyFont="1" applyFill="1" applyBorder="1" applyAlignment="1" applyProtection="1">
      <alignment horizontal="center" vertical="center"/>
    </xf>
    <xf numFmtId="10" fontId="16" fillId="0" borderId="10" xfId="2" applyNumberFormat="1" applyFont="1" applyFill="1" applyBorder="1" applyAlignment="1" applyProtection="1">
      <alignment horizontal="center" vertical="center"/>
    </xf>
    <xf numFmtId="10" fontId="16" fillId="0" borderId="10" xfId="2" applyNumberFormat="1" applyFont="1" applyFill="1" applyBorder="1" applyAlignment="1" applyProtection="1">
      <alignment horizontal="center" vertical="center" wrapText="1"/>
    </xf>
    <xf numFmtId="0" fontId="16" fillId="0" borderId="10" xfId="2" applyFont="1" applyFill="1" applyBorder="1" applyAlignment="1" applyProtection="1">
      <alignment horizontal="center" vertical="center" wrapText="1"/>
    </xf>
    <xf numFmtId="0" fontId="17" fillId="0" borderId="0" xfId="2" applyFont="1" applyAlignment="1" applyProtection="1">
      <alignment wrapText="1"/>
    </xf>
    <xf numFmtId="0" fontId="18" fillId="0" borderId="0" xfId="2" applyFont="1" applyFill="1" applyBorder="1" applyAlignment="1" applyProtection="1">
      <alignment horizontal="center" vertical="center" wrapText="1"/>
    </xf>
    <xf numFmtId="10" fontId="18" fillId="0" borderId="0" xfId="2" applyNumberFormat="1" applyFont="1" applyFill="1" applyBorder="1" applyAlignment="1" applyProtection="1">
      <alignment horizontal="center" vertical="center"/>
    </xf>
    <xf numFmtId="4" fontId="14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Protection="1">
      <protection locked="0"/>
    </xf>
    <xf numFmtId="0" fontId="20" fillId="0" borderId="1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horizontal="center" vertical="top"/>
    </xf>
    <xf numFmtId="0" fontId="24" fillId="0" borderId="0" xfId="2" applyFont="1" applyBorder="1" applyAlignment="1" applyProtection="1">
      <alignment horizontal="center" vertical="top"/>
    </xf>
    <xf numFmtId="169" fontId="9" fillId="0" borderId="0" xfId="2" applyNumberFormat="1" applyFont="1" applyAlignment="1" applyProtection="1"/>
    <xf numFmtId="0" fontId="11" fillId="0" borderId="12" xfId="2" applyFont="1" applyBorder="1" applyAlignment="1" applyProtection="1">
      <alignment horizontal="left"/>
    </xf>
    <xf numFmtId="0" fontId="9" fillId="0" borderId="12" xfId="2" applyFont="1" applyBorder="1" applyProtection="1"/>
    <xf numFmtId="0" fontId="16" fillId="0" borderId="0" xfId="2" applyFont="1" applyAlignment="1" applyProtection="1">
      <alignment vertical="top"/>
    </xf>
    <xf numFmtId="0" fontId="16" fillId="0" borderId="0" xfId="2" applyFont="1" applyProtection="1"/>
    <xf numFmtId="0" fontId="9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165" fontId="9" fillId="3" borderId="15" xfId="4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4" fontId="11" fillId="3" borderId="10" xfId="4" applyNumberFormat="1" applyFont="1" applyFill="1" applyBorder="1" applyAlignment="1"/>
    <xf numFmtId="165" fontId="9" fillId="3" borderId="10" xfId="4" applyNumberFormat="1" applyFont="1" applyFill="1" applyBorder="1" applyAlignment="1">
      <alignment horizontal="center" vertical="center"/>
    </xf>
    <xf numFmtId="4" fontId="9" fillId="0" borderId="16" xfId="0" applyNumberFormat="1" applyFont="1" applyFill="1" applyBorder="1" applyAlignment="1">
      <alignment vertical="center"/>
    </xf>
    <xf numFmtId="4" fontId="9" fillId="0" borderId="7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11" fillId="3" borderId="9" xfId="0" applyFont="1" applyFill="1" applyBorder="1" applyAlignment="1">
      <alignment horizontal="left" vertical="center"/>
    </xf>
    <xf numFmtId="4" fontId="11" fillId="3" borderId="10" xfId="4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 wrapText="1"/>
    </xf>
    <xf numFmtId="2" fontId="6" fillId="2" borderId="6" xfId="0" applyNumberFormat="1" applyFont="1" applyFill="1" applyBorder="1" applyAlignment="1"/>
    <xf numFmtId="2" fontId="6" fillId="2" borderId="0" xfId="0" applyNumberFormat="1" applyFont="1" applyFill="1" applyAlignment="1"/>
    <xf numFmtId="169" fontId="9" fillId="0" borderId="0" xfId="0" applyNumberFormat="1" applyFont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2" fontId="7" fillId="2" borderId="15" xfId="0" applyNumberFormat="1" applyFont="1" applyFill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 wrapText="1"/>
    </xf>
    <xf numFmtId="4" fontId="7" fillId="2" borderId="18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justify" vertical="center" wrapText="1"/>
    </xf>
    <xf numFmtId="4" fontId="6" fillId="0" borderId="20" xfId="0" applyNumberFormat="1" applyFont="1" applyFill="1" applyBorder="1" applyAlignment="1">
      <alignment vertical="center" wrapText="1"/>
    </xf>
    <xf numFmtId="10" fontId="11" fillId="0" borderId="2" xfId="0" applyNumberFormat="1" applyFont="1" applyBorder="1" applyAlignment="1">
      <alignment vertical="center"/>
    </xf>
    <xf numFmtId="10" fontId="11" fillId="0" borderId="21" xfId="0" applyNumberFormat="1" applyFont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7" fillId="4" borderId="23" xfId="0" applyFont="1" applyFill="1" applyBorder="1" applyAlignment="1">
      <alignment horizontal="justify" vertical="center" wrapText="1"/>
    </xf>
    <xf numFmtId="0" fontId="7" fillId="4" borderId="16" xfId="0" applyFont="1" applyFill="1" applyBorder="1" applyAlignment="1">
      <alignment horizontal="justify" vertical="center" wrapText="1"/>
    </xf>
    <xf numFmtId="0" fontId="7" fillId="4" borderId="16" xfId="0" applyFont="1" applyFill="1" applyBorder="1" applyAlignment="1">
      <alignment horizontal="center" vertical="center" wrapText="1"/>
    </xf>
    <xf numFmtId="4" fontId="7" fillId="4" borderId="16" xfId="0" applyNumberFormat="1" applyFont="1" applyFill="1" applyBorder="1" applyAlignment="1">
      <alignment vertical="center" wrapText="1"/>
    </xf>
    <xf numFmtId="4" fontId="7" fillId="4" borderId="24" xfId="0" applyNumberFormat="1" applyFont="1" applyFill="1" applyBorder="1" applyAlignment="1">
      <alignment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vertical="center" wrapText="1"/>
    </xf>
    <xf numFmtId="49" fontId="6" fillId="0" borderId="7" xfId="0" applyNumberFormat="1" applyFont="1" applyFill="1" applyBorder="1" applyAlignment="1">
      <alignment horizontal="justify" vertical="top" wrapText="1"/>
    </xf>
    <xf numFmtId="0" fontId="6" fillId="0" borderId="25" xfId="0" applyFont="1" applyFill="1" applyBorder="1" applyAlignment="1">
      <alignment horizontal="justify" vertical="center" wrapText="1"/>
    </xf>
    <xf numFmtId="49" fontId="6" fillId="0" borderId="26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Fill="1" applyBorder="1" applyAlignment="1">
      <alignment vertical="center" wrapText="1"/>
    </xf>
    <xf numFmtId="0" fontId="6" fillId="0" borderId="26" xfId="0" applyFont="1" applyFill="1" applyBorder="1" applyAlignment="1">
      <alignment horizontal="center" vertical="center" wrapText="1"/>
    </xf>
    <xf numFmtId="4" fontId="6" fillId="0" borderId="26" xfId="0" applyNumberFormat="1" applyFont="1" applyFill="1" applyBorder="1" applyAlignment="1">
      <alignment vertical="center" wrapText="1"/>
    </xf>
    <xf numFmtId="4" fontId="6" fillId="0" borderId="27" xfId="0" applyNumberFormat="1" applyFont="1" applyFill="1" applyBorder="1" applyAlignment="1">
      <alignment vertical="center" wrapText="1"/>
    </xf>
    <xf numFmtId="0" fontId="6" fillId="4" borderId="28" xfId="0" applyFont="1" applyFill="1" applyBorder="1"/>
    <xf numFmtId="4" fontId="7" fillId="2" borderId="0" xfId="0" applyNumberFormat="1" applyFont="1" applyFill="1"/>
    <xf numFmtId="0" fontId="7" fillId="2" borderId="0" xfId="0" applyFont="1" applyFill="1"/>
    <xf numFmtId="0" fontId="7" fillId="4" borderId="19" xfId="0" applyFont="1" applyFill="1" applyBorder="1" applyAlignment="1">
      <alignment horizontal="justify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vertical="center" wrapText="1"/>
    </xf>
    <xf numFmtId="0" fontId="7" fillId="4" borderId="7" xfId="0" applyFont="1" applyFill="1" applyBorder="1" applyAlignment="1">
      <alignment horizontal="center" vertical="center" wrapText="1"/>
    </xf>
    <xf numFmtId="4" fontId="7" fillId="4" borderId="7" xfId="0" applyNumberFormat="1" applyFont="1" applyFill="1" applyBorder="1" applyAlignment="1">
      <alignment vertical="center" wrapText="1"/>
    </xf>
    <xf numFmtId="4" fontId="7" fillId="4" borderId="20" xfId="0" applyNumberFormat="1" applyFont="1" applyFill="1" applyBorder="1" applyAlignment="1">
      <alignment vertical="center" wrapText="1"/>
    </xf>
    <xf numFmtId="0" fontId="4" fillId="2" borderId="0" xfId="0" applyFont="1" applyFill="1"/>
    <xf numFmtId="0" fontId="9" fillId="0" borderId="12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170" fontId="9" fillId="0" borderId="16" xfId="0" applyNumberFormat="1" applyFont="1" applyFill="1" applyBorder="1" applyAlignment="1">
      <alignment horizontal="center" vertical="center"/>
    </xf>
    <xf numFmtId="170" fontId="9" fillId="0" borderId="11" xfId="0" applyNumberFormat="1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vertical="top"/>
    </xf>
    <xf numFmtId="0" fontId="1" fillId="0" borderId="31" xfId="0" applyFont="1" applyFill="1" applyBorder="1" applyAlignment="1">
      <alignment vertical="top"/>
    </xf>
    <xf numFmtId="0" fontId="1" fillId="0" borderId="32" xfId="0" applyFont="1" applyFill="1" applyBorder="1" applyAlignment="1">
      <alignment vertical="top"/>
    </xf>
    <xf numFmtId="0" fontId="6" fillId="2" borderId="0" xfId="0" applyFont="1" applyFill="1" applyAlignment="1">
      <alignment vertical="center"/>
    </xf>
    <xf numFmtId="0" fontId="11" fillId="0" borderId="31" xfId="3" applyFont="1" applyBorder="1" applyAlignment="1" applyProtection="1">
      <alignment horizontal="left" vertical="top"/>
    </xf>
    <xf numFmtId="0" fontId="11" fillId="0" borderId="2" xfId="3" applyFont="1" applyBorder="1" applyAlignment="1" applyProtection="1">
      <alignment horizontal="left" vertical="top"/>
    </xf>
    <xf numFmtId="0" fontId="14" fillId="0" borderId="10" xfId="2" applyFont="1" applyFill="1" applyBorder="1" applyAlignment="1" applyProtection="1">
      <alignment horizontal="center" vertical="center"/>
    </xf>
    <xf numFmtId="0" fontId="11" fillId="0" borderId="0" xfId="3" applyFont="1" applyBorder="1" applyAlignment="1" applyProtection="1">
      <alignment horizontal="left" vertical="top"/>
    </xf>
    <xf numFmtId="0" fontId="9" fillId="0" borderId="32" xfId="2" applyFont="1" applyFill="1" applyBorder="1" applyAlignment="1" applyProtection="1">
      <alignment horizontal="left" vertical="top" wrapText="1"/>
    </xf>
    <xf numFmtId="0" fontId="9" fillId="0" borderId="21" xfId="2" applyFont="1" applyFill="1" applyBorder="1" applyAlignment="1" applyProtection="1">
      <alignment horizontal="left" vertical="top" wrapText="1"/>
    </xf>
    <xf numFmtId="49" fontId="9" fillId="0" borderId="32" xfId="2" applyNumberFormat="1" applyFont="1" applyFill="1" applyBorder="1" applyAlignment="1" applyProtection="1">
      <alignment horizontal="left" vertical="top" wrapText="1"/>
    </xf>
    <xf numFmtId="49" fontId="9" fillId="0" borderId="13" xfId="2" applyNumberFormat="1" applyFont="1" applyFill="1" applyBorder="1" applyAlignment="1" applyProtection="1">
      <alignment horizontal="left" vertical="top" wrapText="1"/>
    </xf>
    <xf numFmtId="49" fontId="9" fillId="0" borderId="21" xfId="2" applyNumberFormat="1" applyFont="1" applyFill="1" applyBorder="1" applyAlignment="1" applyProtection="1">
      <alignment horizontal="left" vertical="top" wrapText="1"/>
    </xf>
    <xf numFmtId="0" fontId="8" fillId="0" borderId="10" xfId="2" applyFont="1" applyFill="1" applyBorder="1" applyAlignment="1" applyProtection="1">
      <alignment horizontal="left" wrapText="1"/>
    </xf>
    <xf numFmtId="10" fontId="8" fillId="3" borderId="10" xfId="2" applyNumberFormat="1" applyFont="1" applyFill="1" applyBorder="1" applyAlignment="1" applyProtection="1">
      <alignment horizontal="center"/>
      <protection locked="0"/>
    </xf>
    <xf numFmtId="0" fontId="11" fillId="0" borderId="30" xfId="3" applyFont="1" applyBorder="1" applyAlignment="1" applyProtection="1">
      <alignment horizontal="left"/>
    </xf>
    <xf numFmtId="0" fontId="11" fillId="0" borderId="12" xfId="3" applyFont="1" applyBorder="1" applyAlignment="1" applyProtection="1">
      <alignment horizontal="left"/>
    </xf>
    <xf numFmtId="0" fontId="11" fillId="0" borderId="29" xfId="3" applyFont="1" applyBorder="1" applyAlignment="1" applyProtection="1">
      <alignment horizontal="left"/>
    </xf>
    <xf numFmtId="0" fontId="8" fillId="0" borderId="8" xfId="1" applyNumberFormat="1" applyFont="1" applyFill="1" applyBorder="1" applyAlignment="1" applyProtection="1">
      <alignment horizontal="left" wrapText="1"/>
    </xf>
    <xf numFmtId="0" fontId="14" fillId="0" borderId="10" xfId="2" applyFont="1" applyBorder="1" applyAlignment="1" applyProtection="1">
      <alignment horizontal="center" vertical="center"/>
    </xf>
    <xf numFmtId="4" fontId="14" fillId="0" borderId="10" xfId="2" applyNumberFormat="1" applyFont="1" applyFill="1" applyBorder="1" applyAlignment="1" applyProtection="1">
      <alignment horizontal="center" vertical="center" wrapText="1"/>
    </xf>
    <xf numFmtId="167" fontId="8" fillId="3" borderId="32" xfId="1" applyFont="1" applyFill="1" applyBorder="1" applyAlignment="1" applyProtection="1">
      <alignment horizontal="left"/>
      <protection locked="0"/>
    </xf>
    <xf numFmtId="167" fontId="8" fillId="3" borderId="13" xfId="1" applyFont="1" applyFill="1" applyBorder="1" applyAlignment="1" applyProtection="1">
      <alignment horizontal="left"/>
      <protection locked="0"/>
    </xf>
    <xf numFmtId="167" fontId="8" fillId="3" borderId="21" xfId="1" applyFont="1" applyFill="1" applyBorder="1" applyAlignment="1" applyProtection="1">
      <alignment horizontal="left"/>
      <protection locked="0"/>
    </xf>
    <xf numFmtId="0" fontId="15" fillId="0" borderId="0" xfId="2" applyFont="1" applyAlignment="1" applyProtection="1">
      <alignment horizontal="center" vertical="top" wrapText="1"/>
    </xf>
    <xf numFmtId="0" fontId="9" fillId="0" borderId="10" xfId="2" applyFont="1" applyBorder="1" applyAlignment="1" applyProtection="1">
      <alignment horizontal="left" vertical="center" wrapText="1"/>
    </xf>
    <xf numFmtId="0" fontId="22" fillId="0" borderId="0" xfId="0" quotePrefix="1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center" vertical="top"/>
    </xf>
    <xf numFmtId="0" fontId="9" fillId="0" borderId="32" xfId="2" applyFont="1" applyFill="1" applyBorder="1" applyAlignment="1" applyProtection="1">
      <alignment horizontal="center" vertical="top" wrapText="1"/>
    </xf>
    <xf numFmtId="0" fontId="9" fillId="0" borderId="21" xfId="2" applyFont="1" applyFill="1" applyBorder="1" applyAlignment="1" applyProtection="1">
      <alignment horizontal="center" vertical="top" wrapText="1"/>
    </xf>
    <xf numFmtId="0" fontId="8" fillId="0" borderId="10" xfId="2" applyFont="1" applyFill="1" applyBorder="1" applyAlignment="1" applyProtection="1">
      <alignment horizontal="left"/>
    </xf>
    <xf numFmtId="0" fontId="16" fillId="0" borderId="0" xfId="2" applyFont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horizontal="left" vertical="center"/>
    </xf>
    <xf numFmtId="168" fontId="9" fillId="0" borderId="0" xfId="2" applyNumberFormat="1" applyFont="1" applyFill="1" applyBorder="1" applyAlignment="1" applyProtection="1">
      <alignment horizontal="left"/>
    </xf>
    <xf numFmtId="0" fontId="10" fillId="0" borderId="10" xfId="2" applyFont="1" applyBorder="1" applyAlignment="1" applyProtection="1">
      <alignment horizontal="center" vertical="center" wrapText="1"/>
    </xf>
    <xf numFmtId="49" fontId="9" fillId="3" borderId="3" xfId="2" applyNumberFormat="1" applyFont="1" applyFill="1" applyBorder="1" applyAlignment="1" applyProtection="1">
      <alignment horizontal="left" vertical="top" wrapText="1"/>
      <protection locked="0"/>
    </xf>
    <xf numFmtId="49" fontId="9" fillId="3" borderId="6" xfId="2" applyNumberFormat="1" applyFont="1" applyFill="1" applyBorder="1" applyAlignment="1" applyProtection="1">
      <alignment horizontal="left" vertical="top" wrapText="1"/>
      <protection locked="0"/>
    </xf>
    <xf numFmtId="49" fontId="9" fillId="3" borderId="9" xfId="2" applyNumberFormat="1" applyFont="1" applyFill="1" applyBorder="1" applyAlignment="1" applyProtection="1">
      <alignment horizontal="left" vertical="top" wrapText="1"/>
      <protection locked="0"/>
    </xf>
    <xf numFmtId="168" fontId="9" fillId="0" borderId="13" xfId="2" applyNumberFormat="1" applyFont="1" applyFill="1" applyBorder="1" applyAlignment="1" applyProtection="1">
      <alignment horizontal="left"/>
    </xf>
    <xf numFmtId="166" fontId="9" fillId="0" borderId="13" xfId="2" applyNumberFormat="1" applyFont="1" applyBorder="1" applyAlignment="1" applyProtection="1">
      <alignment horizontal="left"/>
    </xf>
    <xf numFmtId="0" fontId="21" fillId="0" borderId="0" xfId="2" applyFont="1" applyAlignment="1" applyProtection="1">
      <alignment horizontal="left" vertical="center" indent="1"/>
    </xf>
    <xf numFmtId="0" fontId="18" fillId="0" borderId="0" xfId="2" applyFont="1" applyBorder="1" applyAlignment="1" applyProtection="1">
      <alignment horizontal="left" vertical="center" wrapText="1"/>
    </xf>
    <xf numFmtId="2" fontId="19" fillId="0" borderId="12" xfId="2" applyNumberFormat="1" applyFont="1" applyFill="1" applyBorder="1" applyAlignment="1" applyProtection="1">
      <alignment horizontal="center" vertical="center"/>
    </xf>
    <xf numFmtId="0" fontId="16" fillId="0" borderId="0" xfId="2" applyFont="1" applyAlignment="1" applyProtection="1">
      <alignment horizontal="center"/>
    </xf>
    <xf numFmtId="0" fontId="9" fillId="0" borderId="10" xfId="2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center"/>
    </xf>
    <xf numFmtId="165" fontId="9" fillId="3" borderId="9" xfId="4" applyNumberFormat="1" applyFont="1" applyFill="1" applyBorder="1" applyAlignment="1">
      <alignment horizontal="center"/>
    </xf>
    <xf numFmtId="165" fontId="9" fillId="3" borderId="10" xfId="4" applyNumberFormat="1" applyFont="1" applyFill="1" applyBorder="1" applyAlignment="1">
      <alignment horizontal="center"/>
    </xf>
    <xf numFmtId="165" fontId="9" fillId="3" borderId="0" xfId="4" applyNumberFormat="1" applyFont="1" applyFill="1" applyBorder="1" applyAlignment="1">
      <alignment horizontal="center"/>
    </xf>
    <xf numFmtId="169" fontId="9" fillId="0" borderId="0" xfId="0" applyNumberFormat="1" applyFont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5" fontId="11" fillId="0" borderId="0" xfId="4" applyNumberFormat="1" applyFont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49" fontId="9" fillId="3" borderId="8" xfId="0" applyNumberFormat="1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righ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6" fillId="5" borderId="6" xfId="0" applyFont="1" applyFill="1" applyBorder="1"/>
    <xf numFmtId="0" fontId="6" fillId="5" borderId="4" xfId="0" applyFont="1" applyFill="1" applyBorder="1"/>
    <xf numFmtId="0" fontId="6" fillId="5" borderId="5" xfId="0" applyFont="1" applyFill="1" applyBorder="1"/>
    <xf numFmtId="0" fontId="6" fillId="0" borderId="33" xfId="0" applyFont="1" applyFill="1" applyBorder="1" applyAlignment="1">
      <alignment horizontal="right" vertical="center"/>
    </xf>
    <xf numFmtId="0" fontId="6" fillId="0" borderId="34" xfId="0" applyFont="1" applyFill="1" applyBorder="1" applyAlignment="1">
      <alignment horizontal="right" vertical="center"/>
    </xf>
    <xf numFmtId="0" fontId="6" fillId="0" borderId="3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164" fontId="7" fillId="0" borderId="32" xfId="0" applyNumberFormat="1" applyFont="1" applyFill="1" applyBorder="1" applyAlignment="1">
      <alignment horizontal="center" vertical="center" wrapText="1"/>
    </xf>
    <xf numFmtId="164" fontId="7" fillId="0" borderId="38" xfId="0" applyNumberFormat="1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justify" vertical="center" wrapText="1"/>
    </xf>
    <xf numFmtId="0" fontId="25" fillId="4" borderId="39" xfId="0" applyFont="1" applyFill="1" applyBorder="1" applyAlignment="1">
      <alignment horizontal="center"/>
    </xf>
    <xf numFmtId="0" fontId="25" fillId="4" borderId="40" xfId="0" applyFont="1" applyFill="1" applyBorder="1" applyAlignment="1">
      <alignment horizontal="center"/>
    </xf>
    <xf numFmtId="4" fontId="25" fillId="4" borderId="28" xfId="0" applyNumberFormat="1" applyFont="1" applyFill="1" applyBorder="1" applyAlignment="1"/>
    <xf numFmtId="4" fontId="25" fillId="4" borderId="40" xfId="0" applyNumberFormat="1" applyFont="1" applyFill="1" applyBorder="1" applyAlignment="1"/>
  </cellXfs>
  <cellStyles count="5">
    <cellStyle name="Moeda_Composicao BDI v2.1" xfId="1"/>
    <cellStyle name="Normal" xfId="0" builtinId="0"/>
    <cellStyle name="Normal 2" xfId="2"/>
    <cellStyle name="Normal_FICHA DE VERIFICAÇÃO PRELIMINAR - Plano R" xfId="3"/>
    <cellStyle name="Separador de milhares" xfId="4" builtinId="3"/>
  </cellStyles>
  <dxfs count="9">
    <dxf>
      <font>
        <condense val="0"/>
        <extend val="0"/>
        <color indexed="9"/>
      </font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lor indexed="8"/>
      </font>
      <fill>
        <patternFill>
          <bgColor indexed="4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indexed="47"/>
        </patternFill>
      </fill>
    </dxf>
    <dxf>
      <font>
        <condense val="0"/>
        <extend val="0"/>
        <color indexed="17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indexed="9"/>
      </font>
      <fill>
        <patternFill patternType="none">
          <bgColor indexed="65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GENHARIA/2019/02%20CAPTACAO/05%20-%20BRUNA/PRAIA/PROPOSTA%202019/ULTIMO%20DESENHO/NOVA%20PROPOSTA/2&#186;%20SKATE/ULTIMOS%20ARQUIVOS/PO%20-%20PRAIA%2019.09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URO%20ESCOLA%20SAMBA/PLE%20-%20OP.%201044929-8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1/02%20ARQ.%20BRUNA/FARMACIA%20MUNICIPAL/Doc.%20Encam/Or&#231;amento%20farm&#225;ciamunicip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NGENHARIA/2021/02%20-%20CAPTACAO/03%20-SEC.%20EDUCA&#199;&#195;O/SEC.%20EDUC/ESCOLA%20DE%20SAMBA%20PROJ/MURO%20ESCOLA%20DE%20SAMBA/MURO/PO%20MURO%20-%20PMR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NGENHARIA/2025/04%20-%20SEC.%20DE%20EDUCA&#199;&#195;O%20E%20CULTURA/01%20PROJETO%20REFORMAS/REFORMA%202024/04-GUARDA-CORPO%20ESCOLAS/02%20OR&#199;.%20GUARDA-CORPO%20ESCOL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iente/Downloads/PO2%20%20CRECHE%20IBICU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"/>
      <sheetName val="BDI (1)"/>
      <sheetName val="PO"/>
      <sheetName val="PLQ"/>
      <sheetName val="CFF"/>
    </sheetNames>
    <definedNames>
      <definedName name="linhaSINAPIxls" refersTo="='PO'!$X1" sheetId="2"/>
    </definedNames>
    <sheetDataSet>
      <sheetData sheetId="0" refreshError="1">
        <row r="32">
          <cell r="G32" t="str">
            <v>ROSÁRIO DO SUL</v>
          </cell>
        </row>
        <row r="37">
          <cell r="T37" t="str">
            <v>BDI 1</v>
          </cell>
          <cell r="U37" t="str">
            <v>BDI 2</v>
          </cell>
          <cell r="V37" t="str">
            <v>BDI 3</v>
          </cell>
          <cell r="W37" t="str">
            <v>BDI 4</v>
          </cell>
          <cell r="X37" t="str">
            <v>BDI 5</v>
          </cell>
        </row>
        <row r="38">
          <cell r="A38">
            <v>43647</v>
          </cell>
          <cell r="C38" t="str">
            <v>Não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DOS"/>
      <sheetName val="Eventograma_e_Quantitativos"/>
      <sheetName val="Detalhamento"/>
      <sheetName val="Cronograma"/>
      <sheetName val="PLE"/>
      <sheetName val="Resumo_de_Acompanhamento"/>
      <sheetName val="CronoPrev"/>
    </sheetNames>
    <sheetDataSet>
      <sheetData sheetId="0"/>
      <sheetData sheetId="1">
        <row r="184">
          <cell r="I184">
            <v>1068.8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MOÇÕES"/>
      <sheetName val="PISO E PAREDE"/>
      <sheetName val="ACABAMENTO"/>
      <sheetName val="INST. ELÉTRICAS"/>
      <sheetName val="HIDROSSANITÁRIO"/>
      <sheetName val="GRADIL"/>
      <sheetName val="COMP. ELÉTRICA"/>
      <sheetName val="ORÇAMENTO"/>
      <sheetName val="Cronograma"/>
      <sheetName val="Novo BD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Obra:</v>
          </cell>
          <cell r="B5" t="str">
            <v xml:space="preserve">REFORMA FARMÁCIA MUNICIPAL </v>
          </cell>
        </row>
      </sheetData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EMO. CALCULO"/>
      <sheetName val="QTD AÇO"/>
      <sheetName val="COMPOSIÇÕES"/>
      <sheetName val="PO"/>
      <sheetName val="CFF"/>
      <sheetName val="BDI"/>
    </sheetNames>
    <sheetDataSet>
      <sheetData sheetId="0"/>
      <sheetData sheetId="1"/>
      <sheetData sheetId="2"/>
      <sheetData sheetId="3">
        <row r="3">
          <cell r="C3" t="str">
            <v>Rosário do Sul - RS</v>
          </cell>
        </row>
      </sheetData>
      <sheetData sheetId="4"/>
      <sheetData sheetId="5">
        <row r="41">
          <cell r="I41" t="str">
            <v>Rosário do Sul - RS,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DOS"/>
      <sheetName val="BDI (1)"/>
      <sheetName val="PO"/>
      <sheetName val="PLQ"/>
      <sheetName val="CFF"/>
    </sheetNames>
    <sheetDataSet>
      <sheetData sheetId="0"/>
      <sheetData sheetId="1"/>
      <sheetData sheetId="2">
        <row r="13">
          <cell r="K13" t="str">
            <v>1.</v>
          </cell>
        </row>
      </sheetData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NOVO"/>
      <sheetName val="MENU"/>
      <sheetName val="DADOS"/>
      <sheetName val="BDI"/>
      <sheetName val="ORÇAMENTO"/>
      <sheetName val="EVENTOS"/>
      <sheetName val="CÁLCULO"/>
      <sheetName val="CRONOPLE"/>
      <sheetName val="CRONO"/>
      <sheetName val="QCI"/>
      <sheetName val="PLE"/>
      <sheetName val="BM"/>
      <sheetName val="RRE"/>
      <sheetName val="OFÍCIO"/>
      <sheetName val="PO-PLE"/>
      <sheetName val="CFF-PLE"/>
      <sheetName val="PO-BM"/>
      <sheetName val="CFF-BM"/>
    </sheetNames>
    <sheetDataSet>
      <sheetData sheetId="0"/>
      <sheetData sheetId="1"/>
      <sheetData sheetId="2"/>
      <sheetData sheetId="3"/>
      <sheetData sheetId="4">
        <row r="16">
          <cell r="X16">
            <v>1255258.68</v>
          </cell>
        </row>
        <row r="17">
          <cell r="R17" t="str">
            <v xml:space="preserve">SERVIÇOS PRELIMINARES </v>
          </cell>
        </row>
        <row r="18">
          <cell r="P18" t="str">
            <v>Composição</v>
          </cell>
          <cell r="Q18" t="str">
            <v>054</v>
          </cell>
          <cell r="R18" t="str">
            <v>SONDAGEM DO TERRENO ( UM FURO DE 7M A CADA 200 M²)</v>
          </cell>
          <cell r="S18" t="str">
            <v>M</v>
          </cell>
          <cell r="T18">
            <v>35</v>
          </cell>
          <cell r="U18">
            <v>711.44</v>
          </cell>
          <cell r="W18">
            <v>880.12</v>
          </cell>
          <cell r="X18">
            <v>30804.2</v>
          </cell>
        </row>
        <row r="19">
          <cell r="P19" t="str">
            <v>SINAPI</v>
          </cell>
          <cell r="Q19" t="str">
            <v>98458</v>
          </cell>
          <cell r="R19" t="str">
            <v>TAPUME COM COMPENSADO DE MADEIRA. AF_03/2024</v>
          </cell>
          <cell r="S19" t="str">
            <v>M2</v>
          </cell>
          <cell r="T19">
            <v>70</v>
          </cell>
          <cell r="U19">
            <v>99.59</v>
          </cell>
          <cell r="W19">
            <v>123.2</v>
          </cell>
          <cell r="X19">
            <v>8624</v>
          </cell>
        </row>
        <row r="20">
          <cell r="P20" t="str">
            <v>SINAPI</v>
          </cell>
          <cell r="Q20" t="str">
            <v>103689</v>
          </cell>
          <cell r="R20" t="str">
            <v>FORNECIMENTO E INSTALAÇÃO DE PLACA DE OBRA COM CHAPA GALVANIZADA E ESTRUTURA DE MADEIRA. AF_03/2022_PS</v>
          </cell>
          <cell r="S20" t="str">
            <v>M2</v>
          </cell>
          <cell r="T20">
            <v>6</v>
          </cell>
          <cell r="U20">
            <v>462.39</v>
          </cell>
          <cell r="W20">
            <v>572.02</v>
          </cell>
          <cell r="X20">
            <v>3432.12</v>
          </cell>
        </row>
        <row r="21">
          <cell r="P21" t="str">
            <v>Composição</v>
          </cell>
          <cell r="Q21" t="str">
            <v>001</v>
          </cell>
          <cell r="R21" t="str">
            <v>ENTRADA PROVISÓRIA DE ENERGIA ELÉTRICA</v>
          </cell>
          <cell r="S21" t="str">
            <v>UN</v>
          </cell>
          <cell r="T21">
            <v>1</v>
          </cell>
          <cell r="U21">
            <v>2998.99</v>
          </cell>
          <cell r="W21">
            <v>3710.05</v>
          </cell>
          <cell r="X21">
            <v>3710.05</v>
          </cell>
        </row>
        <row r="22">
          <cell r="P22" t="str">
            <v>Composição</v>
          </cell>
          <cell r="Q22" t="str">
            <v>002</v>
          </cell>
          <cell r="R22" t="str">
            <v>ENTRADA PROVISÓRIA DE ÁGUA</v>
          </cell>
          <cell r="S22" t="str">
            <v>UN</v>
          </cell>
          <cell r="T22">
            <v>1</v>
          </cell>
          <cell r="U22">
            <v>533.95000000000005</v>
          </cell>
          <cell r="W22">
            <v>660.55</v>
          </cell>
          <cell r="X22">
            <v>660.55</v>
          </cell>
        </row>
        <row r="23">
          <cell r="P23" t="str">
            <v>Composição</v>
          </cell>
          <cell r="Q23" t="str">
            <v>003</v>
          </cell>
          <cell r="R23" t="str">
            <v>EXECUÇÃO DE ALMOXARIFADO EM CANTEIRO DE OBRA EM CHAPA DE MADEIRA COMPENSADA, INCLUSO PRATELEIRAS.</v>
          </cell>
          <cell r="S23" t="str">
            <v xml:space="preserve">M2    </v>
          </cell>
          <cell r="T23">
            <v>15</v>
          </cell>
          <cell r="U23">
            <v>792.49</v>
          </cell>
          <cell r="W23">
            <v>980.39</v>
          </cell>
          <cell r="X23">
            <v>14705.85</v>
          </cell>
        </row>
        <row r="24">
          <cell r="P24" t="str">
            <v>SINAPI</v>
          </cell>
          <cell r="Q24" t="str">
            <v>97622</v>
          </cell>
          <cell r="R24" t="str">
            <v>DEMOLIÇÃO DE ALVENARIA DE BLOCO FURADO, DE FORMA MANUAL, SEM REAPROVEITAMENTO. AF_09/2023</v>
          </cell>
          <cell r="S24" t="str">
            <v>M3</v>
          </cell>
          <cell r="T24">
            <v>5.61</v>
          </cell>
          <cell r="U24">
            <v>63.77</v>
          </cell>
          <cell r="W24">
            <v>78.89</v>
          </cell>
          <cell r="X24">
            <v>442.57</v>
          </cell>
        </row>
        <row r="26">
          <cell r="R26" t="str">
            <v xml:space="preserve">SUPERESTRUTURA </v>
          </cell>
          <cell r="X26">
            <v>20045.36</v>
          </cell>
        </row>
        <row r="27">
          <cell r="R27" t="str">
            <v>CONCRETO ARMADO PARA VERGAS</v>
          </cell>
        </row>
        <row r="28">
          <cell r="P28" t="str">
            <v>SINAPI</v>
          </cell>
          <cell r="Q28" t="str">
            <v>93187</v>
          </cell>
          <cell r="R28" t="str">
            <v>VERGA MOLDADA IN LOCO EM CONCRETO, ESPESSURA DE *20* CM. AF_03/2024</v>
          </cell>
          <cell r="S28" t="str">
            <v>M</v>
          </cell>
          <cell r="T28">
            <v>142.1</v>
          </cell>
          <cell r="U28">
            <v>78.64</v>
          </cell>
          <cell r="W28">
            <v>97.29</v>
          </cell>
          <cell r="X28">
            <v>13824.91</v>
          </cell>
        </row>
        <row r="31">
          <cell r="P31" t="str">
            <v>SINAPI</v>
          </cell>
          <cell r="Q31" t="str">
            <v>92269</v>
          </cell>
          <cell r="R31" t="str">
            <v>FABRICAÇÃO DE FÔRMA PARA PILARES E ESTRUTURAS SIMILARES, EM MADEIRA SERRADA, E=25 MM. AF_09/2020</v>
          </cell>
          <cell r="S31" t="str">
            <v>M2</v>
          </cell>
          <cell r="T31">
            <v>23.53</v>
          </cell>
          <cell r="U31">
            <v>121.44</v>
          </cell>
          <cell r="W31">
            <v>150.22999999999999</v>
          </cell>
          <cell r="X31">
            <v>3534.91</v>
          </cell>
        </row>
        <row r="32">
          <cell r="P32" t="str">
            <v>SINAPI</v>
          </cell>
          <cell r="Q32">
            <v>92762</v>
          </cell>
          <cell r="R32" t="str">
            <v>ARMAÇÃO DE PILAR OU VIGA DE ESTRUTURA CONVENCIONAL DE CONCRETO ARMADO UTILIZANDO AÇO CA-50 DE 10,0 MM - MONTAGEM. AF_06/2022</v>
          </cell>
          <cell r="S32" t="str">
            <v>KG</v>
          </cell>
          <cell r="T32">
            <v>68.180000000000007</v>
          </cell>
          <cell r="U32">
            <v>11.43</v>
          </cell>
          <cell r="W32">
            <v>14.14</v>
          </cell>
          <cell r="X32">
            <v>964.07</v>
          </cell>
        </row>
        <row r="33">
          <cell r="P33" t="str">
            <v>SINAPI</v>
          </cell>
          <cell r="Q33">
            <v>92759</v>
          </cell>
          <cell r="R33" t="str">
            <v>ARMAÇÃO DE PILAR OU VIGA DE ESTRUTURA CONVENCIONAL DE CONCRETO ARMADO UTILIZANDO AÇO CA-60 DE 5,0 MM - MONTAGEM. AF_06/2022</v>
          </cell>
          <cell r="S33" t="str">
            <v>KG</v>
          </cell>
          <cell r="T33">
            <v>28.36</v>
          </cell>
          <cell r="U33">
            <v>14.64</v>
          </cell>
          <cell r="W33">
            <v>18.11</v>
          </cell>
          <cell r="X33">
            <v>513.6</v>
          </cell>
        </row>
        <row r="34">
          <cell r="P34" t="str">
            <v>Composição</v>
          </cell>
          <cell r="Q34" t="str">
            <v>073</v>
          </cell>
          <cell r="R34" t="str">
            <v>CONCRETO BOMBEADO FCK=25MPA, INCLUINDO PREPARO, LANÇAMENTO E ADENSAMENTO.</v>
          </cell>
          <cell r="S34" t="str">
            <v>M3</v>
          </cell>
          <cell r="T34">
            <v>1.0900000000000001</v>
          </cell>
          <cell r="U34">
            <v>895.76</v>
          </cell>
          <cell r="W34">
            <v>1108.1400000000001</v>
          </cell>
          <cell r="X34">
            <v>1207.8699999999999</v>
          </cell>
        </row>
        <row r="35">
          <cell r="R35" t="str">
            <v>SISTEMA DE VEDAÇÃO VERTICAL INTERNO E EXTERNO (PAREDES)</v>
          </cell>
          <cell r="X35">
            <v>15043.79</v>
          </cell>
        </row>
        <row r="36">
          <cell r="R36" t="str">
            <v>ALVENARIA DE VEDAÇÃO</v>
          </cell>
          <cell r="X36">
            <v>15043.79</v>
          </cell>
        </row>
        <row r="37">
          <cell r="P37" t="str">
            <v>SINAPI</v>
          </cell>
          <cell r="Q37" t="str">
            <v>102253</v>
          </cell>
          <cell r="R37" t="str">
            <v>DIVISORIA SANITÁRIA, TIPO CABINE, EM GRANITO CINZA POLIDO, ESP = 3CM, ASSENTADO COM ARGAMASSA COLANTE AC III-E, EXCLUSIVE FERRAGENS. AF_01/2021</v>
          </cell>
          <cell r="S37" t="str">
            <v>M2</v>
          </cell>
          <cell r="T37">
            <v>11.32</v>
          </cell>
          <cell r="U37">
            <v>900.16</v>
          </cell>
          <cell r="W37">
            <v>1113.5899999999999</v>
          </cell>
          <cell r="X37">
            <v>12605.84</v>
          </cell>
        </row>
        <row r="38">
          <cell r="P38" t="str">
            <v>SINAPI</v>
          </cell>
          <cell r="Q38" t="str">
            <v>103324</v>
          </cell>
          <cell r="R38" t="str">
            <v>ALVENARIA DE VEDAÇÃO DE BLOCOS CERÂMICOS FURADOS NA VERTICAL DE 14X19X39 CM (ESPESSURA 14 CM) E ARGAMASSA DE ASSENTAMENTO COM PREPARO EM BETONEIRA. AF_12/2021</v>
          </cell>
          <cell r="S38" t="str">
            <v>M2</v>
          </cell>
          <cell r="T38">
            <v>23.85</v>
          </cell>
          <cell r="U38">
            <v>82.63</v>
          </cell>
          <cell r="W38">
            <v>102.22</v>
          </cell>
          <cell r="X38">
            <v>2437.9499999999998</v>
          </cell>
        </row>
        <row r="40">
          <cell r="R40" t="str">
            <v xml:space="preserve">ESQUADRIAS </v>
          </cell>
          <cell r="X40">
            <v>373787.96</v>
          </cell>
        </row>
        <row r="41">
          <cell r="R41" t="str">
            <v>PORTAS DE MADEIRA</v>
          </cell>
          <cell r="X41">
            <v>37079.64</v>
          </cell>
        </row>
        <row r="42">
          <cell r="P42" t="str">
            <v>Composição</v>
          </cell>
          <cell r="Q42" t="str">
            <v>005</v>
          </cell>
          <cell r="R42" t="str">
            <v>PORTA DE MADEIRA - PM1 - 70x210</v>
          </cell>
          <cell r="S42" t="str">
            <v>UN</v>
          </cell>
          <cell r="T42">
            <v>6</v>
          </cell>
          <cell r="U42">
            <v>780.49</v>
          </cell>
          <cell r="W42">
            <v>965.54</v>
          </cell>
          <cell r="X42">
            <v>5793.24</v>
          </cell>
        </row>
        <row r="43">
          <cell r="P43" t="str">
            <v>Composição</v>
          </cell>
          <cell r="Q43" t="str">
            <v>006</v>
          </cell>
          <cell r="R43" t="str">
            <v>PORTA DE MADEIRA  - PM2 - 80x210</v>
          </cell>
          <cell r="S43" t="str">
            <v>UN</v>
          </cell>
          <cell r="T43">
            <v>3</v>
          </cell>
          <cell r="U43">
            <v>718.72</v>
          </cell>
          <cell r="W43">
            <v>889.13</v>
          </cell>
          <cell r="X43">
            <v>2667.39</v>
          </cell>
        </row>
        <row r="44">
          <cell r="P44" t="str">
            <v>Composição</v>
          </cell>
          <cell r="Q44" t="str">
            <v>007</v>
          </cell>
          <cell r="R44" t="str">
            <v>PORTA DE MADEIRA - PM3 - 80x210</v>
          </cell>
          <cell r="S44" t="str">
            <v>UN</v>
          </cell>
          <cell r="T44">
            <v>3</v>
          </cell>
          <cell r="U44">
            <v>1101.19</v>
          </cell>
          <cell r="W44">
            <v>1362.28</v>
          </cell>
          <cell r="X44">
            <v>4086.84</v>
          </cell>
        </row>
        <row r="45">
          <cell r="P45" t="str">
            <v>Composição</v>
          </cell>
          <cell r="Q45" t="str">
            <v>008</v>
          </cell>
          <cell r="R45" t="str">
            <v>PORTA DE MADEIRA - PM4 - 80x210</v>
          </cell>
          <cell r="S45" t="str">
            <v>UN</v>
          </cell>
          <cell r="T45">
            <v>6</v>
          </cell>
          <cell r="U45">
            <v>801.59</v>
          </cell>
          <cell r="W45">
            <v>991.65</v>
          </cell>
          <cell r="X45">
            <v>5949.9</v>
          </cell>
        </row>
        <row r="46">
          <cell r="P46" t="str">
            <v>Composição</v>
          </cell>
          <cell r="Q46" t="str">
            <v>009</v>
          </cell>
          <cell r="R46" t="str">
            <v>PORTA DE MADEIRA - PM5 - 80x210</v>
          </cell>
          <cell r="S46" t="str">
            <v>UN</v>
          </cell>
          <cell r="T46">
            <v>5</v>
          </cell>
          <cell r="U46">
            <v>1539.2</v>
          </cell>
          <cell r="W46">
            <v>1904.14</v>
          </cell>
          <cell r="X46">
            <v>9520.7000000000007</v>
          </cell>
        </row>
        <row r="47">
          <cell r="P47" t="str">
            <v>Composição</v>
          </cell>
          <cell r="Q47" t="str">
            <v>010</v>
          </cell>
          <cell r="R47" t="str">
            <v>PM-1 - PORTA EM MADEIRA DE LEI, LISA, SEMI-ÔCA, 0.80 X 2.10 M, EXCLUSIVE FERRAGENS</v>
          </cell>
          <cell r="S47" t="str">
            <v>UN</v>
          </cell>
          <cell r="T47">
            <v>8</v>
          </cell>
          <cell r="U47">
            <v>707.42</v>
          </cell>
          <cell r="W47">
            <v>875.15</v>
          </cell>
          <cell r="X47">
            <v>7001.2</v>
          </cell>
        </row>
        <row r="48">
          <cell r="P48" t="str">
            <v>Composição</v>
          </cell>
          <cell r="Q48" t="str">
            <v>011</v>
          </cell>
          <cell r="R48" t="str">
            <v>CHAPA METALICA 0,8*0,4X 1MM PARA AS PORTAS - FORNECIMENTO E INSTALAÇÃO</v>
          </cell>
          <cell r="S48" t="str">
            <v>M2</v>
          </cell>
          <cell r="T48">
            <v>15.4</v>
          </cell>
          <cell r="U48">
            <v>108.15</v>
          </cell>
          <cell r="W48">
            <v>133.79</v>
          </cell>
          <cell r="X48">
            <v>2060.37</v>
          </cell>
        </row>
        <row r="50">
          <cell r="R50" t="str">
            <v>FERRAGENS E ACESSÓRIOS</v>
          </cell>
          <cell r="X50">
            <v>4154.62</v>
          </cell>
        </row>
        <row r="51">
          <cell r="P51" t="str">
            <v>SINAPI</v>
          </cell>
          <cell r="Q51" t="str">
            <v>91307</v>
          </cell>
          <cell r="R51" t="str">
            <v>FECHADURA DE EMBUTIR PARA PORTAS INTERNAS, COMPLETA, ACABAMENTO PADRÃO POPULAR, COM EXECUÇÃO DE FURO - FORNECIMENTO E INSTALAÇÃO. AF_12/2019</v>
          </cell>
          <cell r="S51" t="str">
            <v>UN</v>
          </cell>
          <cell r="T51">
            <v>31</v>
          </cell>
          <cell r="U51">
            <v>108.33</v>
          </cell>
          <cell r="W51">
            <v>134.02000000000001</v>
          </cell>
          <cell r="X51">
            <v>4154.62</v>
          </cell>
        </row>
        <row r="52">
          <cell r="R52" t="str">
            <v>PORTAS EM ALUMÍNIO</v>
          </cell>
          <cell r="X52">
            <v>82250.86</v>
          </cell>
        </row>
        <row r="53">
          <cell r="P53" t="str">
            <v>Composição</v>
          </cell>
          <cell r="Q53" t="str">
            <v>012</v>
          </cell>
          <cell r="R53" t="str">
            <v>PORTA DE ABRIR - PA 5 - 120x185</v>
          </cell>
          <cell r="S53" t="str">
            <v>UN</v>
          </cell>
          <cell r="T53">
            <v>2.2200000000000002</v>
          </cell>
          <cell r="U53">
            <v>1834.52</v>
          </cell>
          <cell r="W53">
            <v>2269.48</v>
          </cell>
          <cell r="X53">
            <v>5038.25</v>
          </cell>
        </row>
        <row r="54">
          <cell r="P54" t="str">
            <v>Composição</v>
          </cell>
          <cell r="Q54" t="str">
            <v>068</v>
          </cell>
          <cell r="R54" t="str">
            <v>PORTA DE ABRIR - PA1 - 100X210 EM CHAPA DE ALUMÍNIO E VENEZIANA- CONFORME PROJETO DE ESQUADRIAS, INCLUSIVE FERRAGENS</v>
          </cell>
          <cell r="S54" t="str">
            <v>M2</v>
          </cell>
          <cell r="T54">
            <v>2.1</v>
          </cell>
          <cell r="U54">
            <v>923.39</v>
          </cell>
          <cell r="W54">
            <v>1142.33</v>
          </cell>
          <cell r="X54">
            <v>2398.89</v>
          </cell>
        </row>
        <row r="55">
          <cell r="P55" t="str">
            <v>Composição</v>
          </cell>
          <cell r="Q55" t="str">
            <v>069</v>
          </cell>
          <cell r="R55" t="str">
            <v>PORTA DE ABRIR - PA2 - 80X210 EM CHAPA DE ALUMÍNIO COM VENEZIANA- CONFORME PROJETO DE ESQUADRIAS, INCLUSIVE FERRAGENS</v>
          </cell>
          <cell r="S55" t="str">
            <v>M2</v>
          </cell>
          <cell r="T55">
            <v>1.68</v>
          </cell>
          <cell r="U55">
            <v>826.39</v>
          </cell>
          <cell r="W55">
            <v>1022.33</v>
          </cell>
          <cell r="X55">
            <v>1717.51</v>
          </cell>
        </row>
        <row r="56">
          <cell r="P56" t="str">
            <v>Composição</v>
          </cell>
          <cell r="Q56" t="str">
            <v>070</v>
          </cell>
          <cell r="R56" t="str">
            <v>PORTA DE ABRIR - PA3 - 160X210 EM CHAPA DE ALUMÍNIO COM VENEZIANA- CONFORME PROJETO DE ESQUADRIAS, INCLUSIVE FERRAGENS</v>
          </cell>
          <cell r="S56" t="str">
            <v>M2</v>
          </cell>
          <cell r="T56">
            <v>3.36</v>
          </cell>
          <cell r="U56">
            <v>842.29</v>
          </cell>
          <cell r="W56">
            <v>1042</v>
          </cell>
          <cell r="X56">
            <v>3501.12</v>
          </cell>
        </row>
        <row r="57">
          <cell r="P57" t="str">
            <v>Composição</v>
          </cell>
          <cell r="Q57" t="str">
            <v>071</v>
          </cell>
          <cell r="R57" t="str">
            <v>PORTA DE CORRER DE VIDRO - PA4 - 450X210  CONFORME PROJETO DE ESQUADRIAS, INCLUSIVE FERRAGENS</v>
          </cell>
          <cell r="S57" t="str">
            <v>M2</v>
          </cell>
          <cell r="T57">
            <v>66.150000000000006</v>
          </cell>
          <cell r="U57">
            <v>850.44</v>
          </cell>
          <cell r="W57">
            <v>1052.08</v>
          </cell>
          <cell r="X57">
            <v>69595.09</v>
          </cell>
        </row>
        <row r="58">
          <cell r="R58" t="str">
            <v xml:space="preserve">JANELAS DE ALUMÍNIO - JA </v>
          </cell>
          <cell r="X58">
            <v>55116</v>
          </cell>
        </row>
        <row r="59">
          <cell r="P59" t="str">
            <v>Composição</v>
          </cell>
          <cell r="Q59" t="str">
            <v>057</v>
          </cell>
          <cell r="R59" t="str">
            <v>JANELA DE ALUMÍNIO - JA-01, 70X125, COMPLETA CONFORME PROJETO DE ESQUADRIAS - GUILHOTINA</v>
          </cell>
          <cell r="S59" t="str">
            <v>M2</v>
          </cell>
          <cell r="T59">
            <v>0.88</v>
          </cell>
          <cell r="U59">
            <v>389.74</v>
          </cell>
          <cell r="W59">
            <v>482.15</v>
          </cell>
          <cell r="X59">
            <v>424.29</v>
          </cell>
        </row>
        <row r="60">
          <cell r="P60" t="str">
            <v>Composição</v>
          </cell>
          <cell r="Q60" t="str">
            <v>058</v>
          </cell>
          <cell r="R60" t="str">
            <v>JANELA DE ALUMÍNIO - JA-02, 110X195, COMPLETA CONFORME PROJETO DE ESQUADRIAS - GUILHOTINA</v>
          </cell>
          <cell r="S60" t="str">
            <v>M2</v>
          </cell>
          <cell r="T60">
            <v>2.15</v>
          </cell>
          <cell r="U60">
            <v>389.74</v>
          </cell>
          <cell r="W60">
            <v>482.15</v>
          </cell>
          <cell r="X60">
            <v>1036.6199999999999</v>
          </cell>
        </row>
        <row r="61">
          <cell r="P61" t="str">
            <v>Composição</v>
          </cell>
          <cell r="Q61" t="str">
            <v>059</v>
          </cell>
          <cell r="R61" t="str">
            <v>VIDRO FIXO - JA-03, 140X115, COMPLETA CONFORME PROJETO DE ESQUADRIAS</v>
          </cell>
          <cell r="S61" t="str">
            <v>M2</v>
          </cell>
          <cell r="T61">
            <v>1.61</v>
          </cell>
          <cell r="U61">
            <v>848.45</v>
          </cell>
          <cell r="W61">
            <v>1049.6199999999999</v>
          </cell>
          <cell r="X61">
            <v>1689.89</v>
          </cell>
        </row>
        <row r="62">
          <cell r="P62" t="str">
            <v>Composição</v>
          </cell>
          <cell r="Q62" t="str">
            <v>060</v>
          </cell>
          <cell r="R62" t="str">
            <v>JANELA DE ALUMÍNIO - JA-04, 140X195, COMPLETA CONFORME PROJETO DE ESQUADRIAS - GUILHOTINA</v>
          </cell>
          <cell r="S62" t="str">
            <v>M2</v>
          </cell>
          <cell r="T62">
            <v>2.73</v>
          </cell>
          <cell r="U62">
            <v>389.74</v>
          </cell>
          <cell r="W62">
            <v>482.15</v>
          </cell>
          <cell r="X62">
            <v>1316.27</v>
          </cell>
        </row>
        <row r="63">
          <cell r="P63" t="str">
            <v>Composição</v>
          </cell>
          <cell r="Q63" t="str">
            <v>061</v>
          </cell>
          <cell r="R63" t="str">
            <v>JANELA DE ALUMÍNIO - JA-06, 210X50, COMPLETA CONFORME PROJETO DE ESQUADRIAS - MAXIM-AR - INCLUSO VIDRO LISO INCOLOR, ESPESSURA 6MM</v>
          </cell>
          <cell r="S63" t="str">
            <v>M2</v>
          </cell>
          <cell r="T63">
            <v>1.05</v>
          </cell>
          <cell r="U63">
            <v>905.5</v>
          </cell>
          <cell r="W63">
            <v>1120.19</v>
          </cell>
          <cell r="X63">
            <v>1176.2</v>
          </cell>
        </row>
        <row r="64">
          <cell r="P64" t="str">
            <v>Composição</v>
          </cell>
          <cell r="Q64" t="str">
            <v>062</v>
          </cell>
          <cell r="R64" t="str">
            <v>JANELA DE ALUMÍNIO - JA-08, 210X100, COMPLETA CONFORME PROJETO DE ESQUADRIAS - MAXIM-AR - INCLUSO VIDRO LISO INCOLOR, ESPESSURA 6MM</v>
          </cell>
          <cell r="S64" t="str">
            <v>M2</v>
          </cell>
          <cell r="T64">
            <v>8.4</v>
          </cell>
          <cell r="U64">
            <v>905.5</v>
          </cell>
          <cell r="W64">
            <v>1120.19</v>
          </cell>
          <cell r="X64">
            <v>9409.6</v>
          </cell>
        </row>
        <row r="65">
          <cell r="P65" t="str">
            <v>Composição</v>
          </cell>
          <cell r="Q65" t="str">
            <v>063</v>
          </cell>
          <cell r="R65" t="str">
            <v>JANELA DE ALUMÍNIO - JA-09, 210X150, COMPLETA CONFORME PROJETO DE ESQUADRIAS - MAXIM-AR - INCLUSO VIDRO LISO INCOLOR, ESPESSURA 6MM</v>
          </cell>
          <cell r="S65" t="str">
            <v>M2</v>
          </cell>
          <cell r="T65">
            <v>6.3</v>
          </cell>
          <cell r="U65">
            <v>905.5</v>
          </cell>
          <cell r="W65">
            <v>1120.19</v>
          </cell>
          <cell r="X65">
            <v>7057.2</v>
          </cell>
        </row>
        <row r="66">
          <cell r="P66" t="str">
            <v>Composição</v>
          </cell>
          <cell r="Q66" t="str">
            <v>064</v>
          </cell>
          <cell r="R66" t="str">
            <v>JANELA DE ALUMÍNIO - JA-10, 70*75, COMPLETA CONFORME PROJETO DE ESQUADRIAS - MAXIM-AR - INCLUSO VIDRO LISO INCOLOR, ESPESSURA 6MM</v>
          </cell>
          <cell r="S66" t="str">
            <v>M2</v>
          </cell>
          <cell r="T66">
            <v>1.05</v>
          </cell>
          <cell r="U66">
            <v>905.5</v>
          </cell>
          <cell r="W66">
            <v>1120.19</v>
          </cell>
          <cell r="X66">
            <v>1176.2</v>
          </cell>
        </row>
        <row r="67">
          <cell r="P67" t="str">
            <v>Composição</v>
          </cell>
          <cell r="Q67" t="str">
            <v>065</v>
          </cell>
          <cell r="R67" t="str">
            <v>JANELA DE ALUMÍNIO - JA-11, 140X75, COMPLETA CONFORME PROJETO DE ESQUADRIAS - MAXIM-AR - INCLUSO VIDRO LISO INCOLOR, ESPESSURA 6MM</v>
          </cell>
          <cell r="S67" t="str">
            <v>M2</v>
          </cell>
          <cell r="T67">
            <v>5.25</v>
          </cell>
          <cell r="U67">
            <v>905.5</v>
          </cell>
          <cell r="W67">
            <v>1120.19</v>
          </cell>
          <cell r="X67">
            <v>5881</v>
          </cell>
        </row>
        <row r="68">
          <cell r="P68" t="str">
            <v>Composição</v>
          </cell>
          <cell r="Q68" t="str">
            <v>066</v>
          </cell>
          <cell r="R68" t="str">
            <v>JANELA DE ALUMÍNIO - JA-12, 420X50, COMPLETA CONFORME PROJETO DE ESQUADRIAS - MAXIM-AR - INCLUSO VIDRO LISO INCOLOR, ESPESSURA 6MM</v>
          </cell>
          <cell r="S68" t="str">
            <v>M2</v>
          </cell>
          <cell r="T68">
            <v>4.2</v>
          </cell>
          <cell r="U68">
            <v>905.5</v>
          </cell>
          <cell r="W68">
            <v>1120.19</v>
          </cell>
          <cell r="X68">
            <v>4704.8</v>
          </cell>
        </row>
        <row r="69">
          <cell r="P69" t="str">
            <v>Composição</v>
          </cell>
          <cell r="Q69" t="str">
            <v>067</v>
          </cell>
          <cell r="R69" t="str">
            <v>JANELA DE ALUMÍNIO - JA-13, 560X100, COMPLETA CONFORME PROJETO DE ESQUADRIAS - MAXIM-AR - INCLUSO VIDRO LISO INCOLOR, ESPESSURA 6MM</v>
          </cell>
          <cell r="S69" t="str">
            <v>M2</v>
          </cell>
          <cell r="T69">
            <v>16.8</v>
          </cell>
          <cell r="U69">
            <v>905.5</v>
          </cell>
          <cell r="W69">
            <v>1120.19</v>
          </cell>
          <cell r="X69">
            <v>18819.189999999999</v>
          </cell>
        </row>
        <row r="70">
          <cell r="P70" t="str">
            <v>Composição</v>
          </cell>
          <cell r="Q70" t="str">
            <v>013</v>
          </cell>
          <cell r="R70" t="str">
            <v>PORTA DE VIDRO TEMPERADO - PV1 - 175x230</v>
          </cell>
          <cell r="S70" t="str">
            <v>UN</v>
          </cell>
          <cell r="T70">
            <v>1</v>
          </cell>
          <cell r="U70">
            <v>1960.02</v>
          </cell>
          <cell r="W70">
            <v>2424.7399999999998</v>
          </cell>
          <cell r="X70">
            <v>2424.7399999999998</v>
          </cell>
        </row>
        <row r="71">
          <cell r="R71" t="str">
            <v xml:space="preserve">JANELAS DE ALUMÍNIO - JA </v>
          </cell>
          <cell r="X71">
            <v>3566.5</v>
          </cell>
        </row>
        <row r="72">
          <cell r="P72" t="str">
            <v>Composição</v>
          </cell>
          <cell r="Q72" t="str">
            <v>014</v>
          </cell>
          <cell r="R72" t="str">
            <v>PM-7 - PORTA EM MADEIRA DE LEI, LISA, SEMI-ÔCA, 0.80 X 1.60 M, COM BATENTES, FERRAGENS E BARRA PARA PNE</v>
          </cell>
          <cell r="S72" t="str">
            <v>UN</v>
          </cell>
          <cell r="T72">
            <v>3.15</v>
          </cell>
          <cell r="U72">
            <v>905.5</v>
          </cell>
          <cell r="W72">
            <v>1120.19</v>
          </cell>
          <cell r="X72">
            <v>3528.6</v>
          </cell>
        </row>
        <row r="73">
          <cell r="P73" t="str">
            <v>SINAPI-I</v>
          </cell>
          <cell r="Q73">
            <v>36887</v>
          </cell>
          <cell r="R73" t="str">
            <v>TELA DE FIBRA DE VIDRO, ACABAMENTO ANTI-ALCALINO, MALHA 10 X 10 MM</v>
          </cell>
          <cell r="S73" t="str">
            <v>M2</v>
          </cell>
          <cell r="T73">
            <v>1.88</v>
          </cell>
          <cell r="U73">
            <v>16.3</v>
          </cell>
          <cell r="W73">
            <v>20.16</v>
          </cell>
          <cell r="X73">
            <v>37.9</v>
          </cell>
        </row>
        <row r="74">
          <cell r="R74" t="str">
            <v>VIDROS</v>
          </cell>
          <cell r="X74">
            <v>8905.3799999999992</v>
          </cell>
        </row>
        <row r="75">
          <cell r="P75" t="str">
            <v>SINAPI</v>
          </cell>
          <cell r="Q75" t="str">
            <v>102179</v>
          </cell>
          <cell r="R75" t="str">
            <v>INSTALAÇÃO DE VIDRO TEMPERADO, E = 6 MM, ENCAIXADO EM PERFIL U. AF_01/2021_PS</v>
          </cell>
          <cell r="S75" t="str">
            <v>M2</v>
          </cell>
          <cell r="T75">
            <v>9.4600000000000009</v>
          </cell>
          <cell r="U75">
            <v>324.58999999999997</v>
          </cell>
          <cell r="W75">
            <v>401.55</v>
          </cell>
          <cell r="X75">
            <v>3798.66</v>
          </cell>
        </row>
        <row r="76">
          <cell r="P76" t="str">
            <v>SINAPI-I</v>
          </cell>
          <cell r="Q76">
            <v>11186</v>
          </cell>
          <cell r="R76" t="str">
            <v>ESPELHO CRISTAL E = 4 MM</v>
          </cell>
          <cell r="S76" t="str">
            <v>M2</v>
          </cell>
          <cell r="T76">
            <v>12</v>
          </cell>
          <cell r="U76">
            <v>344</v>
          </cell>
          <cell r="W76">
            <v>425.56</v>
          </cell>
          <cell r="X76">
            <v>5106.72</v>
          </cell>
        </row>
        <row r="77">
          <cell r="R77" t="str">
            <v>ESQUADRIA - GRADIL METÁLICO</v>
          </cell>
          <cell r="X77">
            <v>182714.96</v>
          </cell>
        </row>
        <row r="78">
          <cell r="P78" t="str">
            <v>Composição</v>
          </cell>
          <cell r="Q78" t="str">
            <v>015</v>
          </cell>
          <cell r="R78" t="str">
            <v>FECHAMENTO COM CHAPA DE AÇO PERFURADA, INCLUSIVE PERFIS METÁLICOS PARA SUPORTE E PINTURA - FORNECIMENTO E INSTALAÇÃO</v>
          </cell>
          <cell r="S78" t="str">
            <v>M2</v>
          </cell>
          <cell r="T78">
            <v>75.150000000000006</v>
          </cell>
          <cell r="U78">
            <v>515.91</v>
          </cell>
          <cell r="W78">
            <v>638.23</v>
          </cell>
          <cell r="X78">
            <v>47962.98</v>
          </cell>
        </row>
        <row r="79">
          <cell r="P79" t="str">
            <v>Composição</v>
          </cell>
          <cell r="Q79" t="str">
            <v>016</v>
          </cell>
          <cell r="R79" t="str">
            <v>PORTÃO DE ABRIR EM CHAPA DE AÇO PERFURADA, INCLUSIVE PINTURA - FORNECIMENTO E INSTALAÇÃO (PF1 E PF2)</v>
          </cell>
          <cell r="S79" t="str">
            <v>M2</v>
          </cell>
          <cell r="T79">
            <v>5.46</v>
          </cell>
          <cell r="U79">
            <v>1236.42</v>
          </cell>
          <cell r="W79">
            <v>1529.58</v>
          </cell>
          <cell r="X79">
            <v>8351.51</v>
          </cell>
        </row>
        <row r="80">
          <cell r="P80" t="str">
            <v>Composição</v>
          </cell>
          <cell r="Q80" t="str">
            <v>017</v>
          </cell>
          <cell r="R80" t="str">
            <v>PORTÃO DE ABRIR COM GRADIL METÁLICO E TELA DE AÇO GALVANIZADO, INCLUSIVE PINTURA - FORNECIMENTO E INSTALAÇÃO (PO1, PO2, PO3)</v>
          </cell>
          <cell r="S80" t="str">
            <v>M2</v>
          </cell>
          <cell r="T80">
            <v>19.12</v>
          </cell>
          <cell r="U80">
            <v>1236.42</v>
          </cell>
          <cell r="W80">
            <v>1529.58</v>
          </cell>
          <cell r="X80">
            <v>29245.57</v>
          </cell>
        </row>
        <row r="81">
          <cell r="P81" t="str">
            <v>Composição</v>
          </cell>
          <cell r="Q81" t="str">
            <v>018</v>
          </cell>
          <cell r="R81" t="str">
            <v>GRADIL METÁLICO E TELA DE AÇO GALVANIZADO , INCLUSIVE PINTURA - FORNECIMENTO E INSTALAÇÃO (GR1, GR2, GR3, GR4)</v>
          </cell>
          <cell r="S81" t="str">
            <v>M2</v>
          </cell>
          <cell r="T81">
            <v>99.9</v>
          </cell>
          <cell r="U81">
            <v>595.04999999999995</v>
          </cell>
          <cell r="W81">
            <v>736.14</v>
          </cell>
          <cell r="X81">
            <v>73540.39</v>
          </cell>
        </row>
        <row r="82">
          <cell r="P82" t="str">
            <v>Composição</v>
          </cell>
          <cell r="Q82" t="str">
            <v>015</v>
          </cell>
          <cell r="R82" t="str">
            <v>FECHAMENTO COM CHAPA DE AÇO PERFURADA, INCLUSIVE PERFIS METÁLICOS PARA SUPORTE E PINTURA - FORNECIMENTO E INSTALAÇÃO</v>
          </cell>
          <cell r="S82" t="str">
            <v>M2</v>
          </cell>
          <cell r="T82">
            <v>37</v>
          </cell>
          <cell r="U82">
            <v>515.91</v>
          </cell>
          <cell r="W82">
            <v>638.23</v>
          </cell>
          <cell r="X82">
            <v>23614.51</v>
          </cell>
        </row>
        <row r="84">
          <cell r="R84" t="str">
            <v xml:space="preserve">SISTEMAS DE COBERTURA </v>
          </cell>
          <cell r="X84">
            <v>7571.88</v>
          </cell>
        </row>
        <row r="85">
          <cell r="P85" t="str">
            <v>Composição</v>
          </cell>
          <cell r="Q85" t="str">
            <v>072</v>
          </cell>
          <cell r="R85" t="str">
            <v>REMOÇÃO E RECOLOCAÇÃO DE TELHA SANDUICHE METÁLICA</v>
          </cell>
          <cell r="S85" t="str">
            <v>M2</v>
          </cell>
          <cell r="T85">
            <v>36</v>
          </cell>
          <cell r="U85">
            <v>170.02</v>
          </cell>
          <cell r="W85">
            <v>210.33</v>
          </cell>
          <cell r="X85">
            <v>7571.88</v>
          </cell>
        </row>
        <row r="87">
          <cell r="R87" t="str">
            <v>REVESTIMENTOS INTERNOS E EXTERNOS</v>
          </cell>
          <cell r="X87">
            <v>148063.51</v>
          </cell>
        </row>
        <row r="88">
          <cell r="P88" t="str">
            <v>Composição</v>
          </cell>
          <cell r="Q88" t="str">
            <v>019</v>
          </cell>
          <cell r="R88" t="str">
            <v xml:space="preserve">REVESTIMENTO CERÂMICO EM PAREDES PEI IV - CERÂMICA - INCL. REJUNTE CONFOR. PROJETO - AZUL </v>
          </cell>
          <cell r="S88" t="str">
            <v>M2</v>
          </cell>
          <cell r="T88">
            <v>5.58</v>
          </cell>
          <cell r="U88">
            <v>38.619999999999997</v>
          </cell>
          <cell r="W88">
            <v>47.78</v>
          </cell>
          <cell r="X88">
            <v>266.61</v>
          </cell>
        </row>
        <row r="89">
          <cell r="P89" t="str">
            <v>Composição</v>
          </cell>
          <cell r="Q89" t="str">
            <v>020</v>
          </cell>
          <cell r="R89" t="str">
            <v>REVESTIMENTO CERÂMICO EM PAREDES PEI IV - CERÂMICA - INCL. REJUNTE CONFOR. PROJETO - BRANCO</v>
          </cell>
          <cell r="S89" t="str">
            <v>M2</v>
          </cell>
          <cell r="T89">
            <v>6.84</v>
          </cell>
          <cell r="U89">
            <v>38.619999999999997</v>
          </cell>
          <cell r="W89">
            <v>47.78</v>
          </cell>
          <cell r="X89">
            <v>326.82</v>
          </cell>
        </row>
        <row r="90">
          <cell r="P90" t="str">
            <v>Composição</v>
          </cell>
          <cell r="Q90" t="str">
            <v>021</v>
          </cell>
          <cell r="R90" t="str">
            <v>REVESTIMENTO CERÂMICO EM PAREDES PEI IV - CERÂMICA - INCL. REJUNTE CONFOR. PROJETO - AMARELO</v>
          </cell>
          <cell r="S90" t="str">
            <v>M2</v>
          </cell>
          <cell r="T90">
            <v>66.37</v>
          </cell>
          <cell r="U90">
            <v>38.619999999999997</v>
          </cell>
          <cell r="W90">
            <v>47.78</v>
          </cell>
          <cell r="X90">
            <v>3171.16</v>
          </cell>
        </row>
        <row r="91">
          <cell r="P91" t="str">
            <v>Composição</v>
          </cell>
          <cell r="Q91" t="str">
            <v>022</v>
          </cell>
          <cell r="R91" t="str">
            <v>RODA MEIO EM MADEIRA (LARGURA=10CM)</v>
          </cell>
          <cell r="S91" t="str">
            <v>M</v>
          </cell>
          <cell r="T91">
            <v>103.55</v>
          </cell>
          <cell r="U91">
            <v>51.04</v>
          </cell>
          <cell r="W91">
            <v>63.14</v>
          </cell>
          <cell r="X91">
            <v>6538.15</v>
          </cell>
        </row>
        <row r="92">
          <cell r="P92" t="str">
            <v>Composição</v>
          </cell>
          <cell r="Q92" t="str">
            <v>023</v>
          </cell>
          <cell r="R92" t="str">
            <v>FORRO EM FIBRA MINERAL REMOVÍVEL (1250X625X16MM) APOIADO SOBRE PERFIL METÁLICO "T" INVERTIDO 24MM</v>
          </cell>
          <cell r="S92" t="str">
            <v>M2</v>
          </cell>
          <cell r="T92">
            <v>400.28</v>
          </cell>
          <cell r="U92">
            <v>143.86000000000001</v>
          </cell>
          <cell r="W92">
            <v>177.97</v>
          </cell>
          <cell r="X92">
            <v>71237.83</v>
          </cell>
        </row>
        <row r="93">
          <cell r="P93" t="str">
            <v>SINAPI</v>
          </cell>
          <cell r="Q93" t="str">
            <v>97631</v>
          </cell>
          <cell r="R93" t="str">
            <v>DEMOLIÇÃO DE ARGAMASSAS, DE FORMA MANUAL, SEM REAPROVEITAMENTO. AF_09/2023</v>
          </cell>
          <cell r="S93" t="str">
            <v>M2</v>
          </cell>
          <cell r="T93">
            <v>450.23</v>
          </cell>
          <cell r="U93">
            <v>12.79</v>
          </cell>
          <cell r="W93">
            <v>15.82</v>
          </cell>
          <cell r="X93">
            <v>7122.64</v>
          </cell>
        </row>
        <row r="94">
          <cell r="P94" t="str">
            <v>SINAPI</v>
          </cell>
          <cell r="Q94" t="str">
            <v>97633</v>
          </cell>
          <cell r="R94" t="str">
            <v>DEMOLIÇÃO DE REVESTIMENTO CERÂMICO, DE FORMA MANUAL, SEM REAPROVEITAMENTO. AF_09/2023</v>
          </cell>
          <cell r="S94" t="str">
            <v>M2</v>
          </cell>
          <cell r="T94">
            <v>4.54</v>
          </cell>
          <cell r="U94">
            <v>25.53</v>
          </cell>
          <cell r="W94">
            <v>31.58</v>
          </cell>
          <cell r="X94">
            <v>143.37</v>
          </cell>
        </row>
        <row r="95">
          <cell r="P95" t="str">
            <v>SINAPI</v>
          </cell>
          <cell r="Q95" t="str">
            <v>87878</v>
          </cell>
          <cell r="R95" t="str">
            <v>CHAPISCO APLICADO EM ALVENARIAS E ESTRUTURAS DE CONCRETO INTERNAS, COM COLHER DE PEDREIRO. ARGAMASSA TRAÇO 1:3 COM PREPARO MANUAL. AF_10/2022</v>
          </cell>
          <cell r="S95" t="str">
            <v>M2</v>
          </cell>
          <cell r="T95">
            <v>331</v>
          </cell>
          <cell r="U95">
            <v>5.37</v>
          </cell>
          <cell r="W95">
            <v>6.64</v>
          </cell>
          <cell r="X95">
            <v>2197.84</v>
          </cell>
        </row>
        <row r="96">
          <cell r="P96" t="str">
            <v>SINAPI</v>
          </cell>
          <cell r="Q96" t="str">
            <v>87529</v>
          </cell>
          <cell r="R96" t="str">
            <v>MASSA ÚNICA, EM ARGAMASSA TRAÇO 1:2:8, PREPARO MECÂNICO, APLICADA MANUALMENTE EM PAREDES INTERNAS DE AMBIENTES COM ÁREA ENTRE 5M² E 10M², E = 17,5MM, COM TALISCAS. AF_03/2024</v>
          </cell>
          <cell r="S96" t="str">
            <v>M2</v>
          </cell>
          <cell r="T96">
            <v>331</v>
          </cell>
          <cell r="U96">
            <v>39.29</v>
          </cell>
          <cell r="W96">
            <v>48.61</v>
          </cell>
          <cell r="X96">
            <v>16089.91</v>
          </cell>
        </row>
        <row r="97">
          <cell r="P97" t="str">
            <v>SINAPI</v>
          </cell>
          <cell r="Q97" t="str">
            <v>97640</v>
          </cell>
          <cell r="R97" t="str">
            <v>REMOÇÃO DE FORROS DE DRYWALL, PVC E FIBROMINERAL, DE FORMA MANUAL, SEM REAPROVEITAMENTO. AF_09/2023</v>
          </cell>
          <cell r="S97" t="str">
            <v>M2</v>
          </cell>
          <cell r="T97">
            <v>300.27</v>
          </cell>
          <cell r="U97">
            <v>2.36</v>
          </cell>
          <cell r="W97">
            <v>2.92</v>
          </cell>
          <cell r="X97">
            <v>876.79</v>
          </cell>
        </row>
        <row r="98">
          <cell r="P98" t="str">
            <v>SINAPI</v>
          </cell>
          <cell r="Q98" t="str">
            <v>96110</v>
          </cell>
          <cell r="R98" t="str">
            <v>FORRO EM DRYWALL PARA AMBIENTES RESIDENCIAIS, INCLUSIVE ESTRUTURA UNIDIRECIONAL DE FIXAÇÃO. AF_08/2023_PS</v>
          </cell>
          <cell r="S98" t="str">
            <v>M2</v>
          </cell>
          <cell r="T98">
            <v>300.27</v>
          </cell>
          <cell r="U98">
            <v>85.49</v>
          </cell>
          <cell r="W98">
            <v>105.76</v>
          </cell>
          <cell r="X98">
            <v>31756.560000000001</v>
          </cell>
        </row>
        <row r="99">
          <cell r="P99" t="str">
            <v>SINAPI</v>
          </cell>
          <cell r="Q99" t="str">
            <v>87246</v>
          </cell>
          <cell r="R99" t="str">
            <v>REVESTIMENTO CERÂMICO PARA PISO COM PLACAS TIPO ESMALTADA DE DIMENSÕES 35X35 CM APLICADA EM AMBIENTES DE ÁREA MENOR QUE 5 M2. AF_02/2023_PE</v>
          </cell>
          <cell r="S99" t="str">
            <v>M2</v>
          </cell>
          <cell r="T99">
            <v>4.54</v>
          </cell>
          <cell r="U99">
            <v>70.41</v>
          </cell>
          <cell r="W99">
            <v>87.1</v>
          </cell>
          <cell r="X99">
            <v>395.43</v>
          </cell>
        </row>
        <row r="100">
          <cell r="P100" t="str">
            <v>SINAPI</v>
          </cell>
          <cell r="Q100">
            <v>98562</v>
          </cell>
          <cell r="R100" t="str">
            <v>IMPERMEABILIZAÇÃO DE SUPERFÍCIE COM ARGAMASSA DE CIMENTO E AREIA, COM ADITIVO IMPERMEABILIZANTE, E = 1,5CM. AF_09/2023</v>
          </cell>
          <cell r="S100" t="str">
            <v>M2</v>
          </cell>
          <cell r="T100">
            <v>119.1</v>
          </cell>
          <cell r="U100">
            <v>53.89</v>
          </cell>
          <cell r="W100">
            <v>66.67</v>
          </cell>
          <cell r="X100">
            <v>7940.4</v>
          </cell>
        </row>
        <row r="102">
          <cell r="R102" t="str">
            <v>SISTEMAS DE PISOS INTERNOS E EXTERNOS (PAVIMENTAÇÃO)</v>
          </cell>
          <cell r="X102">
            <v>171413.46</v>
          </cell>
        </row>
        <row r="103">
          <cell r="R103" t="str">
            <v>PAVIMENTAÇÃO INTERNA</v>
          </cell>
          <cell r="X103">
            <v>135518.65</v>
          </cell>
        </row>
        <row r="104">
          <cell r="P104" t="str">
            <v>SINAPI</v>
          </cell>
          <cell r="Q104" t="str">
            <v>87690</v>
          </cell>
          <cell r="R104" t="str">
            <v>CONTRAPISO EM ARGAMASSA TRAÇO 1:4 (CIMENTO E AREIA), PREPARO MECÂNICO COM BETONEIRA 400 L, APLICADO EM ÁREAS SECAS SOBRE LAJE, NÃO ADERIDO, ACABAMENTO NÃO REFORÇADO, ESPESSURA 5CM. AF_07/2021</v>
          </cell>
          <cell r="S104" t="str">
            <v>M2</v>
          </cell>
          <cell r="T104">
            <v>244.56</v>
          </cell>
          <cell r="U104">
            <v>56.5</v>
          </cell>
          <cell r="W104">
            <v>69.900000000000006</v>
          </cell>
          <cell r="X104">
            <v>17094.740000000002</v>
          </cell>
        </row>
        <row r="105">
          <cell r="P105" t="str">
            <v>SINAPI</v>
          </cell>
          <cell r="Q105" t="str">
            <v>101749</v>
          </cell>
          <cell r="R105" t="str">
            <v>PISO CIMENTADO, TRAÇO 1:3 (CIMENTO E AREIA), ACABAMENTO LISO, ESPESSURA 4,0 CM, PREPARO MECÂNICO DA ARGAMASSA. AF_09/2020</v>
          </cell>
          <cell r="S105" t="str">
            <v>M2</v>
          </cell>
          <cell r="T105">
            <v>223.54</v>
          </cell>
          <cell r="U105">
            <v>63.34</v>
          </cell>
          <cell r="W105">
            <v>78.36</v>
          </cell>
          <cell r="X105">
            <v>17516.59</v>
          </cell>
        </row>
        <row r="106">
          <cell r="P106" t="str">
            <v>SINAPI</v>
          </cell>
          <cell r="Q106" t="str">
            <v>102494</v>
          </cell>
          <cell r="R106" t="str">
            <v>PINTURA DE PISO COM TINTA EPÓXI, APLICAÇÃO MANUAL, 2 DEMÃOS, INCLUSO PRIMER EPÓXI. AF_05/2021</v>
          </cell>
          <cell r="S106" t="str">
            <v>M2</v>
          </cell>
          <cell r="T106">
            <v>37.42</v>
          </cell>
          <cell r="U106">
            <v>68.36</v>
          </cell>
          <cell r="W106">
            <v>84.57</v>
          </cell>
          <cell r="X106">
            <v>3164.61</v>
          </cell>
        </row>
        <row r="107">
          <cell r="P107" t="str">
            <v>SINAPI</v>
          </cell>
          <cell r="Q107" t="str">
            <v>87255</v>
          </cell>
          <cell r="R107" t="str">
            <v>REVESTIMENTO CERÂMICO PARA PISO COM PLACAS TIPO ESMALTADA DE DIMENSÕES 60X60 CM APLICADA EM AMBIENTES DE ÁREA MENOR QUE 5 M2. AF_02/2023_PE</v>
          </cell>
          <cell r="S107" t="str">
            <v>M2</v>
          </cell>
          <cell r="T107">
            <v>42.6</v>
          </cell>
          <cell r="U107">
            <v>88.22</v>
          </cell>
          <cell r="W107">
            <v>109.14</v>
          </cell>
          <cell r="X107">
            <v>4649.3599999999997</v>
          </cell>
        </row>
        <row r="108">
          <cell r="P108" t="str">
            <v>SINAPI</v>
          </cell>
          <cell r="Q108" t="str">
            <v>101727</v>
          </cell>
          <cell r="R108" t="str">
            <v>PISO VINÍLICO SEMI-FLEXÍVEL EM PLACAS, PADRÃO LISO, ESPESSURA 3,2 MM, FIXADO COM COLA. AF_09/2020</v>
          </cell>
          <cell r="S108" t="str">
            <v>M2</v>
          </cell>
          <cell r="T108">
            <v>216.4</v>
          </cell>
          <cell r="U108">
            <v>167.22</v>
          </cell>
          <cell r="W108">
            <v>206.87</v>
          </cell>
          <cell r="X108">
            <v>44766.67</v>
          </cell>
        </row>
        <row r="109">
          <cell r="P109" t="str">
            <v>SINAPI</v>
          </cell>
          <cell r="Q109" t="str">
            <v>101094</v>
          </cell>
          <cell r="R109" t="str">
            <v>PISO PODOTÁTIL DE ALERTA OU DIRECIONAL, DE BORRACHA, ASSENTADO SOBRE ARGAMASSA. AF_05/2020</v>
          </cell>
          <cell r="S109" t="str">
            <v>M</v>
          </cell>
          <cell r="T109">
            <v>18.09</v>
          </cell>
          <cell r="U109">
            <v>145.55000000000001</v>
          </cell>
          <cell r="W109">
            <v>180.06</v>
          </cell>
          <cell r="X109">
            <v>3257.29</v>
          </cell>
        </row>
        <row r="110">
          <cell r="P110" t="str">
            <v>SINAPI</v>
          </cell>
          <cell r="Q110" t="str">
            <v>101094</v>
          </cell>
          <cell r="R110" t="str">
            <v>PISO PODOTÁTIL DE ALERTA OU DIRECIONAL, DE BORRACHA, ASSENTADO SOBRE ARGAMASSA. AF_05/2020</v>
          </cell>
          <cell r="S110" t="str">
            <v>M</v>
          </cell>
          <cell r="T110">
            <v>20.43</v>
          </cell>
          <cell r="U110">
            <v>145.55000000000001</v>
          </cell>
          <cell r="W110">
            <v>180.06</v>
          </cell>
          <cell r="X110">
            <v>3678.63</v>
          </cell>
        </row>
        <row r="111">
          <cell r="P111" t="str">
            <v>Composição</v>
          </cell>
          <cell r="Q111" t="str">
            <v>024</v>
          </cell>
          <cell r="R111" t="str">
            <v>RODAPÉ VINÍLICO H=5CM</v>
          </cell>
          <cell r="S111" t="str">
            <v xml:space="preserve">M     </v>
          </cell>
          <cell r="T111">
            <v>103.55</v>
          </cell>
          <cell r="U111">
            <v>32.75</v>
          </cell>
          <cell r="W111">
            <v>40.520000000000003</v>
          </cell>
          <cell r="X111">
            <v>4195.8500000000004</v>
          </cell>
        </row>
        <row r="112">
          <cell r="P112" t="str">
            <v>SINAPI</v>
          </cell>
          <cell r="Q112" t="str">
            <v>104790</v>
          </cell>
          <cell r="R112" t="str">
            <v>DEMOLIÇÃO DE PISO DE CONCRETO SIMPLES, DE FORMA MECANIZADA COM MARTELETE, SEM REAPROVEITAMENTO. AF_09/2023</v>
          </cell>
          <cell r="S112" t="str">
            <v>M3</v>
          </cell>
          <cell r="T112">
            <v>226.66</v>
          </cell>
          <cell r="U112">
            <v>132.65</v>
          </cell>
          <cell r="W112">
            <v>164.1</v>
          </cell>
          <cell r="X112">
            <v>37194.910000000003</v>
          </cell>
        </row>
        <row r="114">
          <cell r="R114" t="str">
            <v>PAVIMENTAÇÃO EXTERNA</v>
          </cell>
          <cell r="X114">
            <v>35894.81</v>
          </cell>
        </row>
        <row r="115">
          <cell r="P115" t="str">
            <v>Composição</v>
          </cell>
          <cell r="Q115" t="str">
            <v>025</v>
          </cell>
          <cell r="R115" t="str">
            <v>PASSEIO EM CONCRETO DESEMPENADO COM JUNTA PLÁSTICA A CADA 1,20M, E=7CM (BASEADA NA COMPOSIÇÃO 68333 - REF 09-2019)</v>
          </cell>
          <cell r="S115" t="str">
            <v>M2</v>
          </cell>
          <cell r="T115">
            <v>222.84</v>
          </cell>
          <cell r="U115">
            <v>68.010000000000005</v>
          </cell>
          <cell r="W115">
            <v>84.14</v>
          </cell>
          <cell r="X115">
            <v>18749.759999999998</v>
          </cell>
        </row>
        <row r="116">
          <cell r="P116" t="str">
            <v>Composição</v>
          </cell>
          <cell r="Q116" t="str">
            <v>026</v>
          </cell>
          <cell r="R116" t="str">
            <v>RAMPA DE ACESSO EM CONCRETO NÃO ESTRUTURAL (BASEADA NA COMPOSIÇÃO 94994 - REF 04-2023)</v>
          </cell>
          <cell r="S116" t="str">
            <v>M2</v>
          </cell>
          <cell r="T116">
            <v>17.38</v>
          </cell>
          <cell r="U116">
            <v>82.5</v>
          </cell>
          <cell r="W116">
            <v>102.06</v>
          </cell>
          <cell r="X116">
            <v>1773.8</v>
          </cell>
        </row>
        <row r="117">
          <cell r="P117" t="str">
            <v>SINAPI</v>
          </cell>
          <cell r="Q117" t="str">
            <v>92402</v>
          </cell>
          <cell r="R117" t="str">
            <v>EXECUÇÃO DE PASSEIO EM PISO INTERTRAVADO, COM BLOCO 16 FACES DE 22 X 11 CM, ESPESSURA 6 CM. AF_10/2022</v>
          </cell>
          <cell r="S117" t="str">
            <v>M2</v>
          </cell>
          <cell r="T117">
            <v>28.05</v>
          </cell>
          <cell r="U117">
            <v>80.77</v>
          </cell>
          <cell r="W117">
            <v>99.92</v>
          </cell>
          <cell r="X117">
            <v>2802.76</v>
          </cell>
        </row>
        <row r="118">
          <cell r="P118" t="str">
            <v>SINAPI</v>
          </cell>
          <cell r="Q118" t="str">
            <v>104658</v>
          </cell>
          <cell r="R118" t="str">
            <v>PISO PODOTÁTIL DE ALERTA OU DIRECIONAL, DE CONCRETO, ASSENTADO SOBRE ARGAMASSA. AF_03/2024</v>
          </cell>
          <cell r="S118" t="str">
            <v>M2</v>
          </cell>
          <cell r="T118">
            <v>3.51</v>
          </cell>
          <cell r="U118">
            <v>153.63</v>
          </cell>
          <cell r="W118">
            <v>190.06</v>
          </cell>
          <cell r="X118">
            <v>667.11</v>
          </cell>
        </row>
        <row r="119">
          <cell r="P119" t="str">
            <v>SINAPI</v>
          </cell>
          <cell r="Q119" t="str">
            <v>104658</v>
          </cell>
          <cell r="R119" t="str">
            <v>PISO PODOTÁTIL DE ALERTA OU DIRECIONAL, DE CONCRETO, ASSENTADO SOBRE ARGAMASSA. AF_03/2024</v>
          </cell>
          <cell r="S119" t="str">
            <v>M2</v>
          </cell>
          <cell r="T119">
            <v>1.89</v>
          </cell>
          <cell r="U119">
            <v>153.63</v>
          </cell>
          <cell r="W119">
            <v>190.06</v>
          </cell>
          <cell r="X119">
            <v>359.21</v>
          </cell>
        </row>
        <row r="120">
          <cell r="P120" t="str">
            <v>SINAPI</v>
          </cell>
          <cell r="Q120" t="str">
            <v>94273</v>
          </cell>
          <cell r="R120" t="str">
            <v>ASSENTAMENTO DE GUIA (MEIO-FIO) EM TRECHO RETO, CONFECCIONADA EM CONCRETO PRÉ-FABRICADO, DIMENSÕES 100X15X13X30 CM (COMPRIMENTO X BASE INFERIOR X BASE SUPERIOR X ALTURA). AF_01/2024</v>
          </cell>
          <cell r="S120" t="str">
            <v>M</v>
          </cell>
          <cell r="T120">
            <v>15.3</v>
          </cell>
          <cell r="U120">
            <v>50.87</v>
          </cell>
          <cell r="W120">
            <v>62.93</v>
          </cell>
          <cell r="X120">
            <v>962.83</v>
          </cell>
        </row>
        <row r="121">
          <cell r="P121" t="str">
            <v>SINAPI</v>
          </cell>
          <cell r="Q121" t="str">
            <v>100323</v>
          </cell>
          <cell r="R121" t="str">
            <v>LASTRO COM MATERIAL GRANULAR (AREIA MÉDIA), APLICADO EM PISOS OU LAJES SOBRE SOLO, ESPESSURA DE *10 CM*. AF_01/2024</v>
          </cell>
          <cell r="S121" t="str">
            <v>M3</v>
          </cell>
          <cell r="T121">
            <v>6</v>
          </cell>
          <cell r="U121">
            <v>175.21</v>
          </cell>
          <cell r="W121">
            <v>216.75</v>
          </cell>
          <cell r="X121">
            <v>1300.5</v>
          </cell>
        </row>
        <row r="122">
          <cell r="P122" t="str">
            <v>SINAPI</v>
          </cell>
          <cell r="Q122" t="str">
            <v>98504</v>
          </cell>
          <cell r="R122" t="str">
            <v>PLANTIO DE GRAMA BATATAIS EM PLACAS. AF_07/2024</v>
          </cell>
          <cell r="S122" t="str">
            <v>M2</v>
          </cell>
          <cell r="T122">
            <v>331.98</v>
          </cell>
          <cell r="U122">
            <v>22.59</v>
          </cell>
          <cell r="W122">
            <v>27.95</v>
          </cell>
          <cell r="X122">
            <v>9278.84</v>
          </cell>
        </row>
        <row r="124">
          <cell r="R124" t="str">
            <v xml:space="preserve">PINTURA </v>
          </cell>
          <cell r="X124">
            <v>45435.63</v>
          </cell>
        </row>
        <row r="125">
          <cell r="P125" t="str">
            <v>SINAPI</v>
          </cell>
          <cell r="Q125" t="str">
            <v>104642</v>
          </cell>
          <cell r="R125" t="str">
            <v>PINTURA LÁTEX ACRÍLICA STANDARD, APLICAÇÃO MANUAL EM PAREDES, DUAS DEMÃOS. AF_04/2023</v>
          </cell>
          <cell r="S125" t="str">
            <v>M2</v>
          </cell>
          <cell r="T125">
            <v>2050.08</v>
          </cell>
          <cell r="U125">
            <v>11.92</v>
          </cell>
          <cell r="W125">
            <v>14.75</v>
          </cell>
          <cell r="X125">
            <v>30238.68</v>
          </cell>
        </row>
        <row r="126">
          <cell r="P126" t="str">
            <v>SINAPI</v>
          </cell>
          <cell r="Q126" t="str">
            <v>104640</v>
          </cell>
          <cell r="R126" t="str">
            <v>PINTURA LÁTEX ACRÍLICA STANDARD, APLICAÇÃO MANUAL EM TETO, DUAS DEMÃOS. AF_04/2023</v>
          </cell>
          <cell r="S126" t="str">
            <v>M2</v>
          </cell>
          <cell r="T126">
            <v>704.15</v>
          </cell>
          <cell r="U126">
            <v>14.42</v>
          </cell>
          <cell r="W126">
            <v>17.84</v>
          </cell>
          <cell r="X126">
            <v>12562.04</v>
          </cell>
        </row>
        <row r="127">
          <cell r="P127" t="str">
            <v>SINAPI</v>
          </cell>
          <cell r="Q127" t="str">
            <v>102210</v>
          </cell>
          <cell r="R127" t="str">
            <v>PINTURA TINTA DE ACABAMENTO (PIGMENTADA) ESMALTE SINTÉTICO BRILHANTE EM MADEIRA, 1 DEMÃO. AF_01/2021</v>
          </cell>
          <cell r="S127" t="str">
            <v>M2</v>
          </cell>
          <cell r="T127">
            <v>78.12</v>
          </cell>
          <cell r="U127">
            <v>8.6300000000000008</v>
          </cell>
          <cell r="W127">
            <v>10.68</v>
          </cell>
          <cell r="X127">
            <v>834.32</v>
          </cell>
        </row>
        <row r="128">
          <cell r="P128" t="str">
            <v>SINAPI</v>
          </cell>
          <cell r="Q128" t="str">
            <v>102210</v>
          </cell>
          <cell r="R128" t="str">
            <v>PINTURA TINTA DE ACABAMENTO (PIGMENTADA) ESMALTE SINTÉTICO BRILHANTE EM MADEIRA, 1 DEMÃO. AF_01/2021</v>
          </cell>
          <cell r="S128" t="str">
            <v>M2</v>
          </cell>
          <cell r="T128">
            <v>10.36</v>
          </cell>
          <cell r="U128">
            <v>8.6300000000000008</v>
          </cell>
          <cell r="W128">
            <v>10.68</v>
          </cell>
          <cell r="X128">
            <v>110.64</v>
          </cell>
        </row>
        <row r="129">
          <cell r="P129" t="str">
            <v>SINAPI</v>
          </cell>
          <cell r="Q129" t="str">
            <v>100733</v>
          </cell>
          <cell r="R129" t="str">
            <v>PINTURA COM TINTA ACRÍLICA DE FUNDO PULVERIZADA SOBRE SUPERFÍCIES METÁLICAS (EXCETO PERFIL) EXECUTADO EM OBRA (POR DEMÃO). AF_01/2020_PE</v>
          </cell>
          <cell r="S129" t="str">
            <v>M2</v>
          </cell>
          <cell r="T129">
            <v>109.17</v>
          </cell>
          <cell r="U129">
            <v>12.51</v>
          </cell>
          <cell r="W129">
            <v>15.48</v>
          </cell>
          <cell r="X129">
            <v>1689.95</v>
          </cell>
        </row>
        <row r="131">
          <cell r="R131" t="str">
            <v xml:space="preserve">INSTALAÇÃO HIDRÁULICA </v>
          </cell>
          <cell r="X131">
            <v>14944.57</v>
          </cell>
        </row>
        <row r="132">
          <cell r="R132" t="str">
            <v>TUBULAÇÕES E CONEXÕES DE PVC RÍGIDO</v>
          </cell>
          <cell r="X132">
            <v>14944.57</v>
          </cell>
        </row>
        <row r="133">
          <cell r="P133" t="str">
            <v>SINAPI</v>
          </cell>
          <cell r="Q133" t="str">
            <v>89596</v>
          </cell>
          <cell r="R133" t="str">
            <v>ADAPTADOR CURTO COM BOLSA E ROSCA PARA REGISTRO, PVC, SOLDÁVEL, DN 50MM X 1.1/2, INSTALADO EM PRUMADA DE ÁGUA - FORNECIMENTO E INSTALAÇÃO. AF_06/2022</v>
          </cell>
          <cell r="S133" t="str">
            <v>UN</v>
          </cell>
          <cell r="T133">
            <v>21</v>
          </cell>
          <cell r="U133">
            <v>12.1</v>
          </cell>
          <cell r="W133">
            <v>14.97</v>
          </cell>
          <cell r="X133">
            <v>314.37</v>
          </cell>
        </row>
        <row r="134">
          <cell r="P134" t="str">
            <v>SINAPI</v>
          </cell>
          <cell r="Q134">
            <v>89610</v>
          </cell>
          <cell r="R134" t="str">
            <v>ADAPTADOR CURTO COM BOLSA E ROSCA PARA REGISTRO, PVC, SOLDÁVEL, DN 60MM X 2, INSTALADO EM PRUMADA DE ÁGUA - FORNECIMENTO E INSTALAÇÃO. AF_06/2022</v>
          </cell>
          <cell r="S134" t="str">
            <v>UN</v>
          </cell>
          <cell r="T134">
            <v>8</v>
          </cell>
          <cell r="U134">
            <v>22.62</v>
          </cell>
          <cell r="W134">
            <v>27.98</v>
          </cell>
          <cell r="X134">
            <v>223.84</v>
          </cell>
        </row>
        <row r="135">
          <cell r="P135" t="str">
            <v>SINAPI</v>
          </cell>
          <cell r="Q135">
            <v>89613</v>
          </cell>
          <cell r="R135" t="str">
            <v>ADAPTADOR CURTO COM BOLSA E ROSCA PARA REGISTRO, PVC, SOLDÁVEL, DN 75MM X 2.1/2", INSTALADO EM PRUMADA DE ÁGUA - FORNECIMENTO E INSTALAÇÃO. AF_12/2014</v>
          </cell>
          <cell r="S135" t="str">
            <v>UN</v>
          </cell>
          <cell r="T135">
            <v>12</v>
          </cell>
          <cell r="U135">
            <v>35.380000000000003</v>
          </cell>
          <cell r="W135">
            <v>43.77</v>
          </cell>
          <cell r="X135">
            <v>525.24</v>
          </cell>
        </row>
        <row r="136">
          <cell r="P136" t="str">
            <v>SINAPI</v>
          </cell>
          <cell r="Q136" t="str">
            <v>103959</v>
          </cell>
          <cell r="R136" t="str">
            <v>BUCHA DE REDUÇÃO, CURTA, PVC, SOLDÁVEL, DN 60 X 50 MM, INSTALADO EM PRUMADA DE ÁGUA - FORNECIMENTO E INSTALAÇÃO. AF_06/2022</v>
          </cell>
          <cell r="S136" t="str">
            <v>UN</v>
          </cell>
          <cell r="T136">
            <v>16</v>
          </cell>
          <cell r="U136">
            <v>17.41</v>
          </cell>
          <cell r="W136">
            <v>21.54</v>
          </cell>
          <cell r="X136">
            <v>344.64</v>
          </cell>
        </row>
        <row r="137">
          <cell r="P137" t="str">
            <v>SINAPI</v>
          </cell>
          <cell r="Q137" t="str">
            <v>103972</v>
          </cell>
          <cell r="R137" t="str">
            <v>BUCHA DE REDUÇÃO, LONGA, PVC, SOLDÁVEL, DN 75 X 50 MM, INSTALADO EM PRUMADA DE ÁGUA - FORNECIMENTO E INSTALAÇÃO. AF_06/2022</v>
          </cell>
          <cell r="S137" t="str">
            <v>UN</v>
          </cell>
          <cell r="T137">
            <v>6</v>
          </cell>
          <cell r="U137">
            <v>33.68</v>
          </cell>
          <cell r="W137">
            <v>41.67</v>
          </cell>
          <cell r="X137">
            <v>250.02</v>
          </cell>
        </row>
        <row r="138">
          <cell r="P138" t="str">
            <v>SINAPI</v>
          </cell>
          <cell r="Q138" t="str">
            <v>105229</v>
          </cell>
          <cell r="R138" t="str">
            <v>BUCHA DE REDUÇÃO, PPR, DN 50 X 25 MM, INSTALADO EM RESERVAÇÃO PREDIAL DE ÁGUA - FORNECIMENTO E INSTALAÇÃO. AF_04/2024</v>
          </cell>
          <cell r="S138" t="str">
            <v>UN</v>
          </cell>
          <cell r="T138">
            <v>24</v>
          </cell>
          <cell r="U138">
            <v>28.99</v>
          </cell>
          <cell r="W138">
            <v>35.86</v>
          </cell>
          <cell r="X138">
            <v>860.64</v>
          </cell>
        </row>
        <row r="139">
          <cell r="P139" t="str">
            <v>SINAPI</v>
          </cell>
          <cell r="Q139">
            <v>89485</v>
          </cell>
          <cell r="R139" t="str">
            <v>JOELHO 45 GRAUS, PVC, SOLDÁVEL, DN 25MM, INSTALADO EM PRUMADA DE ÁGUA - FORNECIMENTO E INSTALAÇÃO. AF_06/2022</v>
          </cell>
          <cell r="S139" t="str">
            <v>UN</v>
          </cell>
          <cell r="T139">
            <v>1.86</v>
          </cell>
          <cell r="U139">
            <v>7.02</v>
          </cell>
          <cell r="W139">
            <v>8.68</v>
          </cell>
          <cell r="X139">
            <v>16.14</v>
          </cell>
        </row>
        <row r="140">
          <cell r="P140" t="str">
            <v>SINAPI</v>
          </cell>
          <cell r="Q140">
            <v>89502</v>
          </cell>
          <cell r="R140" t="str">
            <v>JOELHO 45 GRAUS, PVC, SOLDÁVEL, DN 50MM, INSTALADO EM PRUMADA DE ÁGUA - FORNECIMENTO E INSTALAÇÃO. AF_06/2022</v>
          </cell>
          <cell r="S140" t="str">
            <v>UN</v>
          </cell>
          <cell r="T140">
            <v>1.86</v>
          </cell>
          <cell r="U140">
            <v>19.48</v>
          </cell>
          <cell r="W140">
            <v>24.1</v>
          </cell>
          <cell r="X140">
            <v>44.83</v>
          </cell>
        </row>
        <row r="141">
          <cell r="P141" t="str">
            <v>SINAPI</v>
          </cell>
          <cell r="Q141">
            <v>89358</v>
          </cell>
          <cell r="R141" t="str">
            <v>JOELHO 90 GRAUS, PVC, SOLDÁVEL, DN 20MM, INSTALADO EM RAMAL OU SUB-RAMAL DE ÁGUA - FORNECIMENTO E INSTALAÇÃO. AF_06/2022</v>
          </cell>
          <cell r="S141" t="str">
            <v>UN</v>
          </cell>
          <cell r="T141">
            <v>1.7</v>
          </cell>
          <cell r="U141">
            <v>8.82</v>
          </cell>
          <cell r="W141">
            <v>10.91</v>
          </cell>
          <cell r="X141">
            <v>18.55</v>
          </cell>
        </row>
        <row r="142">
          <cell r="P142" t="str">
            <v>SINAPI</v>
          </cell>
          <cell r="Q142">
            <v>89362</v>
          </cell>
          <cell r="R142" t="str">
            <v>JOELHO 90 GRAUS, PVC, SOLDÁVEL, DN 25MM, INSTALADO EM RAMAL OU SUB-RAMAL DE ÁGUA - FORNECIMENTO E INSTALAÇÃO. AF_06/2022</v>
          </cell>
          <cell r="S142" t="str">
            <v>UN</v>
          </cell>
          <cell r="T142">
            <v>62.93</v>
          </cell>
          <cell r="U142">
            <v>10.53</v>
          </cell>
          <cell r="W142">
            <v>13.03</v>
          </cell>
          <cell r="X142">
            <v>819.98</v>
          </cell>
        </row>
        <row r="143">
          <cell r="P143" t="str">
            <v>SINAPI</v>
          </cell>
          <cell r="Q143">
            <v>89501</v>
          </cell>
          <cell r="R143" t="str">
            <v>JOELHO 90 GRAUS, PVC, SOLDÁVEL, DN 50MM, INSTALADO EM PRUMADA DE ÁGUA - FORNECIMENTO E INSTALAÇÃO. AF_06/2022</v>
          </cell>
          <cell r="S143" t="str">
            <v>UN</v>
          </cell>
          <cell r="T143">
            <v>4.37</v>
          </cell>
          <cell r="U143">
            <v>16.489999999999998</v>
          </cell>
          <cell r="W143">
            <v>20.399999999999999</v>
          </cell>
          <cell r="X143">
            <v>89.15</v>
          </cell>
        </row>
        <row r="144">
          <cell r="P144" t="str">
            <v>SINAPI</v>
          </cell>
          <cell r="Q144">
            <v>89522</v>
          </cell>
          <cell r="R144" t="str">
            <v>JOELHO 90 GRAUS, PVC, SERIE R, ÁGUA PLUVIAL, DN 75 MM, JUNTA ELÁSTICA, FORNECIDO E INSTALADO EM RAMAL DE ENCAMINHAMENTO. AF_06/2022</v>
          </cell>
          <cell r="S144" t="str">
            <v>UN</v>
          </cell>
          <cell r="T144">
            <v>17.22</v>
          </cell>
          <cell r="U144">
            <v>32.72</v>
          </cell>
          <cell r="W144">
            <v>40.479999999999997</v>
          </cell>
          <cell r="X144">
            <v>697.07</v>
          </cell>
        </row>
        <row r="145">
          <cell r="P145" t="str">
            <v>SINAPI</v>
          </cell>
          <cell r="Q145">
            <v>89645</v>
          </cell>
          <cell r="R145" t="str">
            <v>JOELHO DE TRANSIÇÃO, 90 GRAUS, CPVC, SOLDÁVEL, DN 22MM X 3/4", INSTALADO EM RAMAL OU SUB-RAMAL DE ÁGUA - FORNECIMENTO E INSTALAÇÃO. AF_06/2022</v>
          </cell>
          <cell r="S145" t="str">
            <v>UN</v>
          </cell>
          <cell r="T145">
            <v>41.44</v>
          </cell>
          <cell r="U145">
            <v>38.99</v>
          </cell>
          <cell r="W145">
            <v>48.23</v>
          </cell>
          <cell r="X145">
            <v>1998.65</v>
          </cell>
        </row>
        <row r="146">
          <cell r="P146" t="str">
            <v>SINAPI</v>
          </cell>
          <cell r="Q146">
            <v>89424</v>
          </cell>
          <cell r="R146" t="str">
            <v>LUVA, PVC, SOLDÁVEL, DN 25MM, INSTALADO EM RAMAL DE DISTRIBUIÇÃO DE ÁGUA - FORNECIMENTO E INSTALAÇÃO. AF_06/2022</v>
          </cell>
          <cell r="S146" t="str">
            <v>UN</v>
          </cell>
          <cell r="T146">
            <v>7.42</v>
          </cell>
          <cell r="U146">
            <v>7.33</v>
          </cell>
          <cell r="W146">
            <v>9.07</v>
          </cell>
          <cell r="X146">
            <v>67.3</v>
          </cell>
        </row>
        <row r="147">
          <cell r="P147" t="str">
            <v>SINAPI</v>
          </cell>
          <cell r="Q147">
            <v>89395</v>
          </cell>
          <cell r="R147" t="str">
            <v>TE, PVC, SOLDÁVEL, DN 25MM, INSTALADO EM RAMAL OU SUB-RAMAL DE ÁGUA - FORNECIMENTO E INSTALAÇÃO. AF_06/2022</v>
          </cell>
          <cell r="S147" t="str">
            <v>UN</v>
          </cell>
          <cell r="T147">
            <v>12.83</v>
          </cell>
          <cell r="U147">
            <v>14.57</v>
          </cell>
          <cell r="W147">
            <v>18.02</v>
          </cell>
          <cell r="X147">
            <v>231.2</v>
          </cell>
        </row>
        <row r="148">
          <cell r="P148" t="str">
            <v>SINAPI-I</v>
          </cell>
          <cell r="Q148">
            <v>12613</v>
          </cell>
          <cell r="R148" t="str">
            <v>TUBO DE DESCARGA, TIPO BENGALA, PARA LIGACAO CAIXA DE DESCARGA - EMBUTIR, PVC, 40 MM X 150 CM</v>
          </cell>
          <cell r="S148" t="str">
            <v>UN</v>
          </cell>
          <cell r="T148">
            <v>0.45</v>
          </cell>
          <cell r="U148">
            <v>19.920000000000002</v>
          </cell>
          <cell r="W148">
            <v>24.64</v>
          </cell>
          <cell r="X148">
            <v>11.09</v>
          </cell>
        </row>
        <row r="149">
          <cell r="P149" t="str">
            <v>SINAPI-I</v>
          </cell>
          <cell r="Q149">
            <v>11670</v>
          </cell>
          <cell r="R149" t="str">
            <v>REGISTRO DE ESFERA, PVC, COM VOLANTE, VS, ROSCAVEL, DN 1/2", COM CORPO DIVIDIDO</v>
          </cell>
          <cell r="S149" t="str">
            <v>UN</v>
          </cell>
          <cell r="T149">
            <v>1</v>
          </cell>
          <cell r="U149">
            <v>31.43</v>
          </cell>
          <cell r="W149">
            <v>38.880000000000003</v>
          </cell>
          <cell r="X149">
            <v>38.880000000000003</v>
          </cell>
        </row>
        <row r="150">
          <cell r="P150" t="str">
            <v>SINAPI-I</v>
          </cell>
          <cell r="Q150">
            <v>6028</v>
          </cell>
          <cell r="R150" t="str">
            <v>REGISTRO GAVETA BRUTO EM LATAO FORJADO, BITOLA 2"</v>
          </cell>
          <cell r="S150" t="str">
            <v>UN</v>
          </cell>
          <cell r="T150">
            <v>4</v>
          </cell>
          <cell r="U150">
            <v>168.01</v>
          </cell>
          <cell r="W150">
            <v>207.85</v>
          </cell>
          <cell r="X150">
            <v>831.4</v>
          </cell>
        </row>
        <row r="151">
          <cell r="P151" t="str">
            <v>SINAPI-I</v>
          </cell>
          <cell r="Q151">
            <v>6011</v>
          </cell>
          <cell r="R151" t="str">
            <v>REGISTRO GAVETA BRUTO EM LATAO FORJADO, BITOLA 2 1/2"</v>
          </cell>
          <cell r="S151" t="str">
            <v>UN</v>
          </cell>
          <cell r="T151">
            <v>6</v>
          </cell>
          <cell r="U151">
            <v>348.44</v>
          </cell>
          <cell r="W151">
            <v>431.06</v>
          </cell>
          <cell r="X151">
            <v>2586.36</v>
          </cell>
        </row>
        <row r="152">
          <cell r="P152" t="str">
            <v>SINAPI-I</v>
          </cell>
          <cell r="Q152">
            <v>6006</v>
          </cell>
          <cell r="R152" t="str">
            <v>REGISTRO GAVETA COM ACABAMENTO E CANOPLA CROMADOS, SIMPLES, BITOLA 1/2"</v>
          </cell>
          <cell r="S152" t="str">
            <v>UN</v>
          </cell>
          <cell r="T152">
            <v>1</v>
          </cell>
          <cell r="U152">
            <v>96.05</v>
          </cell>
          <cell r="W152">
            <v>118.82</v>
          </cell>
          <cell r="X152">
            <v>118.82</v>
          </cell>
        </row>
        <row r="153">
          <cell r="P153" t="str">
            <v>SINAPI-I</v>
          </cell>
          <cell r="Q153">
            <v>6013</v>
          </cell>
          <cell r="R153" t="str">
            <v>REGISTRO GAVETA COM ACABAMENTO E CANOPLA CROMADOS, SIMPLES, BITOLA 1"</v>
          </cell>
          <cell r="S153" t="str">
            <v>UN</v>
          </cell>
          <cell r="T153">
            <v>1</v>
          </cell>
          <cell r="U153">
            <v>132.63</v>
          </cell>
          <cell r="W153">
            <v>164.08</v>
          </cell>
          <cell r="X153">
            <v>164.08</v>
          </cell>
        </row>
        <row r="154">
          <cell r="P154" t="str">
            <v>SINAPI-I</v>
          </cell>
          <cell r="Q154">
            <v>6015</v>
          </cell>
          <cell r="R154" t="str">
            <v>REGISTRO GAVETA COM ACABAMENTO E CANOPLA CROMADOS, SIMPLES, BITOLA 1 1/2"</v>
          </cell>
          <cell r="S154" t="str">
            <v>UN</v>
          </cell>
          <cell r="T154">
            <v>4</v>
          </cell>
          <cell r="U154">
            <v>192.88</v>
          </cell>
          <cell r="W154">
            <v>238.61</v>
          </cell>
          <cell r="X154">
            <v>954.44</v>
          </cell>
        </row>
        <row r="155">
          <cell r="P155" t="str">
            <v>SINAPI-I</v>
          </cell>
          <cell r="Q155">
            <v>6005</v>
          </cell>
          <cell r="R155" t="str">
            <v>REGISTRO GAVETA COM ACABAMENTO E CANOPLA CROMADOS, SIMPLES, BITOLA 3/4"</v>
          </cell>
          <cell r="S155" t="str">
            <v>UN</v>
          </cell>
          <cell r="T155">
            <v>26</v>
          </cell>
          <cell r="U155">
            <v>108.35</v>
          </cell>
          <cell r="W155">
            <v>134.04</v>
          </cell>
          <cell r="X155">
            <v>3485.04</v>
          </cell>
        </row>
        <row r="156">
          <cell r="P156" t="str">
            <v>SINAPI-I</v>
          </cell>
          <cell r="Q156">
            <v>6024</v>
          </cell>
          <cell r="R156" t="str">
            <v>REGISTRO PRESSAO COM ACABAMENTO E CANOPLA CROMADA, SIMPLES, BITOLA 3/4"</v>
          </cell>
          <cell r="S156" t="str">
            <v>UN</v>
          </cell>
          <cell r="T156">
            <v>2</v>
          </cell>
          <cell r="U156">
            <v>102.19</v>
          </cell>
          <cell r="W156">
            <v>126.42</v>
          </cell>
          <cell r="X156">
            <v>252.84</v>
          </cell>
        </row>
        <row r="158">
          <cell r="R158" t="str">
            <v>DRENAGEM DE ÁGUAS PLUVIAIS</v>
          </cell>
          <cell r="X158">
            <v>76166.63</v>
          </cell>
        </row>
        <row r="159">
          <cell r="R159" t="str">
            <v>TUBULAÇÕES E CONEXÕES DE PVC</v>
          </cell>
          <cell r="X159">
            <v>3052.8</v>
          </cell>
        </row>
        <row r="160">
          <cell r="P160" t="str">
            <v>SINAPI</v>
          </cell>
          <cell r="Q160" t="str">
            <v>89848</v>
          </cell>
          <cell r="R160" t="str">
            <v>TUBO PVC, SERIE NORMAL, ESGOTO PREDIAL, DN 100 MM, FORNECIDO E INSTALADO EM SUBCOLETOR AÉREO DE ESGOTO SANITÁRIO. AF_08/2022</v>
          </cell>
          <cell r="S160" t="str">
            <v>M</v>
          </cell>
          <cell r="T160">
            <v>80</v>
          </cell>
          <cell r="U160">
            <v>30.85</v>
          </cell>
          <cell r="W160">
            <v>38.159999999999997</v>
          </cell>
          <cell r="X160">
            <v>3052.8</v>
          </cell>
        </row>
        <row r="162">
          <cell r="R162" t="str">
            <v>ACESSÓRIOS</v>
          </cell>
          <cell r="X162">
            <v>289.08</v>
          </cell>
        </row>
        <row r="163">
          <cell r="P163" t="str">
            <v>SINAPI</v>
          </cell>
          <cell r="Q163" t="str">
            <v>89710</v>
          </cell>
          <cell r="R163" t="str">
            <v>RALO SECO, PVC, DN 100 X 40 MM, JUNTA SOLDÁVEL, FORNECIDO E INSTALADO EM RAMAL DE DESCARGA OU EM RAMAL DE ESGOTO SANITÁRIO. AF_08/2022</v>
          </cell>
          <cell r="S163" t="str">
            <v>UN</v>
          </cell>
          <cell r="T163">
            <v>12</v>
          </cell>
          <cell r="U163">
            <v>19.47</v>
          </cell>
          <cell r="W163">
            <v>24.09</v>
          </cell>
          <cell r="X163">
            <v>289.08</v>
          </cell>
        </row>
        <row r="165">
          <cell r="R165" t="str">
            <v xml:space="preserve">INSTALAÇÕES SANITÁRIA </v>
          </cell>
          <cell r="X165">
            <v>14815.3</v>
          </cell>
        </row>
        <row r="166">
          <cell r="P166" t="str">
            <v>SINAPI</v>
          </cell>
          <cell r="Q166" t="str">
            <v>89710</v>
          </cell>
          <cell r="R166" t="str">
            <v>RALO SECO, PVC, DN 100 X 40 MM, JUNTA SOLDÁVEL, FORNECIDO E INSTALADO EM RAMAL DE DESCARGA OU EM RAMAL DE ESGOTO SANITÁRIO. AF_08/2022</v>
          </cell>
          <cell r="S166" t="str">
            <v>UN</v>
          </cell>
          <cell r="T166">
            <v>18</v>
          </cell>
          <cell r="U166">
            <v>19.47</v>
          </cell>
          <cell r="W166">
            <v>24.09</v>
          </cell>
          <cell r="X166">
            <v>433.62</v>
          </cell>
        </row>
        <row r="167">
          <cell r="P167" t="str">
            <v>Composição</v>
          </cell>
          <cell r="Q167" t="str">
            <v>074</v>
          </cell>
          <cell r="R167" t="str">
            <v>SUMIDOURO EM ALVENARIA 2,40 X 2,40 M</v>
          </cell>
          <cell r="S167" t="str">
            <v xml:space="preserve">UN    </v>
          </cell>
          <cell r="T167">
            <v>1</v>
          </cell>
          <cell r="U167">
            <v>5598.56</v>
          </cell>
          <cell r="W167">
            <v>6925.98</v>
          </cell>
          <cell r="X167">
            <v>6925.98</v>
          </cell>
        </row>
        <row r="168">
          <cell r="P168" t="str">
            <v>Composição</v>
          </cell>
          <cell r="Q168" t="str">
            <v>075</v>
          </cell>
          <cell r="R168" t="str">
            <v>FOSSA SEPTICA, SEM FILTRO, EM POLIETILENO DE ALTA DENSIDADE, CAPACIDADE APROXIMADA DE *5500* LITROS. FORNECIMENTO E INSTALAÇÃO.</v>
          </cell>
          <cell r="S168" t="str">
            <v xml:space="preserve">UN    </v>
          </cell>
          <cell r="T168">
            <v>1</v>
          </cell>
          <cell r="U168">
            <v>6026.76</v>
          </cell>
          <cell r="W168">
            <v>7455.7</v>
          </cell>
          <cell r="X168">
            <v>7455.7</v>
          </cell>
        </row>
        <row r="169">
          <cell r="R169" t="str">
            <v xml:space="preserve">LOUÇAS E METAIS </v>
          </cell>
          <cell r="X169">
            <v>58009.45</v>
          </cell>
        </row>
        <row r="170">
          <cell r="P170" t="str">
            <v>SINAPI</v>
          </cell>
          <cell r="Q170" t="str">
            <v>95472</v>
          </cell>
          <cell r="R170" t="str">
            <v>VASO SANITARIO SIFONADO CONVENCIONAL PARA PCD SEM FURO FRONTAL COM LOUÇA BRANCA SEM ASSENTO, INCLUSO CONJUNTO DE LIGAÇÃO PARA BACIA SANITÁRIA AJUSTÁVEL - FORNECIMENTO E INSTALAÇÃO. AF_01/2020</v>
          </cell>
          <cell r="S170" t="str">
            <v>UN</v>
          </cell>
          <cell r="T170">
            <v>2</v>
          </cell>
          <cell r="U170">
            <v>863.05</v>
          </cell>
          <cell r="W170">
            <v>1067.68</v>
          </cell>
          <cell r="X170">
            <v>2135.36</v>
          </cell>
        </row>
        <row r="171">
          <cell r="P171" t="str">
            <v>SINAPI</v>
          </cell>
          <cell r="Q171" t="str">
            <v>95470</v>
          </cell>
          <cell r="R171" t="str">
            <v>VASO SANITARIO SIFONADO CONVENCIONAL COM LOUÇA BRANCA, INCLUSO CONJUNTO DE LIGAÇÃO PARA BACIA SANITÁRIA AJUSTÁVEL - FORNECIMENTO E INSTALAÇÃO. AF_01/2020</v>
          </cell>
          <cell r="S171" t="str">
            <v>UN</v>
          </cell>
          <cell r="T171">
            <v>2</v>
          </cell>
          <cell r="U171">
            <v>330.6</v>
          </cell>
          <cell r="W171">
            <v>408.99</v>
          </cell>
          <cell r="X171">
            <v>817.98</v>
          </cell>
        </row>
        <row r="172">
          <cell r="P172" t="str">
            <v>Composição</v>
          </cell>
          <cell r="Q172" t="str">
            <v>027</v>
          </cell>
          <cell r="R172" t="str">
            <v>BACIA CONVENCIONAL STUDIO KIDS</v>
          </cell>
          <cell r="S172" t="str">
            <v>UN</v>
          </cell>
          <cell r="T172">
            <v>10</v>
          </cell>
          <cell r="U172">
            <v>330.6</v>
          </cell>
          <cell r="W172">
            <v>408.99</v>
          </cell>
          <cell r="X172">
            <v>4089.9</v>
          </cell>
        </row>
        <row r="173">
          <cell r="P173" t="str">
            <v>SINAPI</v>
          </cell>
          <cell r="Q173" t="str">
            <v>86901</v>
          </cell>
          <cell r="R173" t="str">
            <v>CUBA DE EMBUTIR OVAL EM LOUÇA BRANCA, 35 X 50CM OU EQUIVALENTE - FORNECIMENTO E INSTALAÇÃO. AF_01/2020</v>
          </cell>
          <cell r="S173" t="str">
            <v>UN</v>
          </cell>
          <cell r="T173">
            <v>13</v>
          </cell>
          <cell r="U173">
            <v>161.77000000000001</v>
          </cell>
          <cell r="W173">
            <v>200.13</v>
          </cell>
          <cell r="X173">
            <v>2601.69</v>
          </cell>
        </row>
        <row r="174">
          <cell r="P174" t="str">
            <v>Composição</v>
          </cell>
          <cell r="Q174" t="str">
            <v>028</v>
          </cell>
          <cell r="R174" t="str">
            <v xml:space="preserve">CUBA INDUSTRIAL 50X40 PROFUNDIDA 30 - HIDRONOX OU EQUIVALENTE, COM SIFÃO EM METAL CROMADO 1.1/2X1.1/2", VÁLVULA EM METAL CROMADO TIPO AMERICANA 3.1/2"X1.1/2" PARA PIA - FORNECIMENTO E INSTALAÇÃO   </v>
          </cell>
          <cell r="S174" t="str">
            <v>UN</v>
          </cell>
          <cell r="T174">
            <v>3</v>
          </cell>
          <cell r="U174">
            <v>665.41</v>
          </cell>
          <cell r="W174">
            <v>823.18</v>
          </cell>
          <cell r="X174">
            <v>2469.54</v>
          </cell>
        </row>
        <row r="175">
          <cell r="P175" t="str">
            <v>SINAPI</v>
          </cell>
          <cell r="Q175" t="str">
            <v>86900</v>
          </cell>
          <cell r="R175" t="str">
            <v>CUBA DE EMBUTIR RETANGULAR DE AÇO INOXIDÁVEL, 46 X 30 X 12 CM - FORNECIMENTO E INSTALAÇÃO. AF_01/2020</v>
          </cell>
          <cell r="S175" t="str">
            <v>UN</v>
          </cell>
          <cell r="T175">
            <v>9</v>
          </cell>
          <cell r="U175">
            <v>227</v>
          </cell>
          <cell r="W175">
            <v>280.82</v>
          </cell>
          <cell r="X175">
            <v>2527.38</v>
          </cell>
        </row>
        <row r="176">
          <cell r="P176" t="str">
            <v>Cotação</v>
          </cell>
          <cell r="Q176" t="str">
            <v>01</v>
          </cell>
          <cell r="R176" t="str">
            <v>BANHEIRA EMBUTIR EM PLÁSTICO TIPO PVC, 77X45X20CM, BURIGOTTO OU EQUIVALENTE</v>
          </cell>
          <cell r="S176" t="str">
            <v>UN</v>
          </cell>
          <cell r="T176">
            <v>2</v>
          </cell>
          <cell r="U176">
            <v>377.48</v>
          </cell>
          <cell r="W176">
            <v>466.98</v>
          </cell>
          <cell r="X176">
            <v>933.96</v>
          </cell>
        </row>
        <row r="177">
          <cell r="P177" t="str">
            <v>Composição</v>
          </cell>
          <cell r="Q177" t="str">
            <v>029</v>
          </cell>
          <cell r="R177" t="str">
            <v>LAVATÓRIO DE CANTO SUSPENSO COM MESA, LINHA IZY CÓDIGO L101.17, DECA OU EQUIVALENTE, COM VÁLVULA, SIFÃO E ENGATE FLEXÍVEL, CROMADOS. FORNECIMENTO E INSTALAÇÃO (BASEADA NA COMPOSIÇÃO 86942 - REF 04-2023)</v>
          </cell>
          <cell r="S177" t="str">
            <v>UN</v>
          </cell>
          <cell r="T177">
            <v>3</v>
          </cell>
          <cell r="U177">
            <v>358.22</v>
          </cell>
          <cell r="W177">
            <v>443.15</v>
          </cell>
          <cell r="X177">
            <v>1329.45</v>
          </cell>
        </row>
        <row r="178">
          <cell r="P178" t="str">
            <v>Composição</v>
          </cell>
          <cell r="Q178" t="str">
            <v>030</v>
          </cell>
          <cell r="R178" t="str">
            <v>LAVATÓRIO PEQUENO RAVENA/IZY COR BRANCO GELO, COM COLUNA SUSPENSA CÓDIGO L915 DECA OU EQUIVALENTE (BASEADA NA COMPOSIÇÃO 86942 - REF 04-2023)</v>
          </cell>
          <cell r="S178" t="str">
            <v>UN</v>
          </cell>
          <cell r="T178">
            <v>3</v>
          </cell>
          <cell r="U178">
            <v>369.68</v>
          </cell>
          <cell r="W178">
            <v>457.33</v>
          </cell>
          <cell r="X178">
            <v>1371.99</v>
          </cell>
        </row>
        <row r="179">
          <cell r="P179" t="str">
            <v>SINAPI</v>
          </cell>
          <cell r="Q179">
            <v>86919</v>
          </cell>
          <cell r="R179" t="str">
            <v>TANQUE DE LOUÇA BRANCA COM COLUNA, 30L OU EQUIVALENTE, INCLUSO SIFÃO FLEXÍVEL EM PVC, VÁLVULA METÁLICA E TORNEIRA DE METAL CROMADO PADRÃO MÉDIO - FORNECIMENTO E INSTALAÇÃO. AF_01/2020</v>
          </cell>
          <cell r="S179" t="str">
            <v>UN</v>
          </cell>
          <cell r="T179">
            <v>5</v>
          </cell>
          <cell r="U179">
            <v>1077.8599999999999</v>
          </cell>
          <cell r="W179">
            <v>1333.42</v>
          </cell>
          <cell r="X179">
            <v>6667.1</v>
          </cell>
        </row>
        <row r="180">
          <cell r="P180" t="str">
            <v>SINAPI</v>
          </cell>
          <cell r="Q180" t="str">
            <v>100860</v>
          </cell>
          <cell r="R180" t="str">
            <v>CHUVEIRO ELÉTRICO COMUM CORPO PLÁSTICO, TIPO DUCHA - FORNECIMENTO E INSTALAÇÃO. AF_01/2020</v>
          </cell>
          <cell r="S180" t="str">
            <v>UN</v>
          </cell>
          <cell r="T180">
            <v>10</v>
          </cell>
          <cell r="U180">
            <v>106.27</v>
          </cell>
          <cell r="W180">
            <v>131.47</v>
          </cell>
          <cell r="X180">
            <v>1314.7</v>
          </cell>
        </row>
        <row r="181">
          <cell r="P181" t="str">
            <v>SINAPI-I</v>
          </cell>
          <cell r="Q181">
            <v>377</v>
          </cell>
          <cell r="R181" t="str">
            <v>ASSENTO SANITARIO DE PLASTICO, TIPO CONVENCIONAL</v>
          </cell>
          <cell r="S181" t="str">
            <v>UN</v>
          </cell>
          <cell r="T181">
            <v>2</v>
          </cell>
          <cell r="U181">
            <v>37.69</v>
          </cell>
          <cell r="W181">
            <v>46.63</v>
          </cell>
          <cell r="X181">
            <v>93.26</v>
          </cell>
        </row>
        <row r="182">
          <cell r="P182" t="str">
            <v>SINAPI-I</v>
          </cell>
          <cell r="Q182">
            <v>377</v>
          </cell>
          <cell r="R182" t="str">
            <v>ASSENTO SANITARIO DE PLASTICO, TIPO CONVENCIONAL</v>
          </cell>
          <cell r="S182" t="str">
            <v>UN</v>
          </cell>
          <cell r="T182">
            <v>2</v>
          </cell>
          <cell r="U182">
            <v>37.69</v>
          </cell>
          <cell r="W182">
            <v>46.63</v>
          </cell>
          <cell r="X182">
            <v>93.26</v>
          </cell>
        </row>
        <row r="183">
          <cell r="P183" t="str">
            <v>SINAPI-I</v>
          </cell>
          <cell r="Q183">
            <v>11703</v>
          </cell>
          <cell r="R183" t="str">
            <v>PAPELEIRA DE PAREDE EM METAL CROMADO SEM TAMPA</v>
          </cell>
          <cell r="S183" t="str">
            <v>UN</v>
          </cell>
          <cell r="T183">
            <v>14</v>
          </cell>
          <cell r="U183">
            <v>79.91</v>
          </cell>
          <cell r="W183">
            <v>98.86</v>
          </cell>
          <cell r="X183">
            <v>1384.04</v>
          </cell>
        </row>
        <row r="184">
          <cell r="P184" t="str">
            <v>SINAPI-I</v>
          </cell>
          <cell r="Q184">
            <v>1370</v>
          </cell>
          <cell r="R184" t="str">
            <v>DUCHA HIGIENICA PLASTICA COM REGISTRO METALICO 1/2"</v>
          </cell>
          <cell r="S184" t="str">
            <v>UN</v>
          </cell>
          <cell r="T184">
            <v>3</v>
          </cell>
          <cell r="U184">
            <v>122.42</v>
          </cell>
          <cell r="W184">
            <v>151.44999999999999</v>
          </cell>
          <cell r="X184">
            <v>454.35</v>
          </cell>
        </row>
        <row r="185">
          <cell r="P185" t="str">
            <v>SINAPI-I</v>
          </cell>
          <cell r="Q185">
            <v>11777</v>
          </cell>
          <cell r="R185" t="str">
            <v>TORNEIRA ELETRICA DE PAREDE, PLASTICA, BICA ALTA, PARA COZINHA, 5500 W (110/220 V)</v>
          </cell>
          <cell r="S185" t="str">
            <v>UN</v>
          </cell>
          <cell r="T185">
            <v>2</v>
          </cell>
          <cell r="U185">
            <v>194.94</v>
          </cell>
          <cell r="W185">
            <v>241.16</v>
          </cell>
          <cell r="X185">
            <v>482.32</v>
          </cell>
        </row>
        <row r="186">
          <cell r="P186" t="str">
            <v>SINAPI-I</v>
          </cell>
          <cell r="Q186">
            <v>11777</v>
          </cell>
          <cell r="R186" t="str">
            <v>TORNEIRA ELETRICA DE PAREDE, PLASTICA, BICA ALTA, PARA COZINHA, 5500 W (110/220 V)</v>
          </cell>
          <cell r="S186" t="str">
            <v>UN</v>
          </cell>
          <cell r="T186">
            <v>2</v>
          </cell>
          <cell r="U186">
            <v>194.94</v>
          </cell>
          <cell r="W186">
            <v>241.16</v>
          </cell>
          <cell r="X186">
            <v>482.32</v>
          </cell>
        </row>
        <row r="187">
          <cell r="P187" t="str">
            <v>SINAPI-I</v>
          </cell>
          <cell r="Q187">
            <v>36791</v>
          </cell>
          <cell r="R187" t="str">
            <v>TORNEIRA METALICA CROMADA DE MESA PARA LAVATORIO, BICA ALTA, COM AREJADOR</v>
          </cell>
          <cell r="S187" t="str">
            <v>UN</v>
          </cell>
          <cell r="T187">
            <v>10</v>
          </cell>
          <cell r="U187">
            <v>251.18</v>
          </cell>
          <cell r="W187">
            <v>310.73</v>
          </cell>
          <cell r="X187">
            <v>3107.3</v>
          </cell>
        </row>
        <row r="188">
          <cell r="P188" t="str">
            <v>SINAPI</v>
          </cell>
          <cell r="Q188">
            <v>86909</v>
          </cell>
          <cell r="R188" t="str">
            <v>TORNEIRA CROMADA TUBO MÓVEL, DE MESA, 1/2" OU 3/4", PARA PIA DE COZINHA, PADRÃO ALTO - FORNECIMENTO E INSTALAÇÃO. AF_01/2020</v>
          </cell>
          <cell r="S188" t="str">
            <v>UN</v>
          </cell>
          <cell r="T188">
            <v>12</v>
          </cell>
          <cell r="U188">
            <v>229.4</v>
          </cell>
          <cell r="W188">
            <v>283.79000000000002</v>
          </cell>
          <cell r="X188">
            <v>3405.48</v>
          </cell>
        </row>
        <row r="189">
          <cell r="P189" t="str">
            <v>SINAPI</v>
          </cell>
          <cell r="Q189">
            <v>86916</v>
          </cell>
          <cell r="R189" t="str">
            <v>TORNEIRA PLÁSTICA 3/4" PARA TANQUE - FORNECIMENTO E INSTALAÇÃO. AF_01/2020</v>
          </cell>
          <cell r="S189" t="str">
            <v>UN</v>
          </cell>
          <cell r="T189">
            <v>11</v>
          </cell>
          <cell r="U189">
            <v>26.19</v>
          </cell>
          <cell r="W189">
            <v>32.4</v>
          </cell>
          <cell r="X189">
            <v>356.4</v>
          </cell>
        </row>
        <row r="190">
          <cell r="P190" t="str">
            <v>SINAPI</v>
          </cell>
          <cell r="Q190">
            <v>86906</v>
          </cell>
          <cell r="R190" t="str">
            <v>TORNEIRA CROMADA DE MESA, 1/2" OU 3/4", PARA LAVATÓRIO, PADRÃO POPULAR - FORNECIMENTO E INSTALAÇÃO. AF_01/2020</v>
          </cell>
          <cell r="S190" t="str">
            <v>UN</v>
          </cell>
          <cell r="T190">
            <v>19</v>
          </cell>
          <cell r="U190">
            <v>132.09</v>
          </cell>
          <cell r="W190">
            <v>163.41</v>
          </cell>
          <cell r="X190">
            <v>3104.79</v>
          </cell>
        </row>
        <row r="191">
          <cell r="P191" t="str">
            <v>SINAPI-I</v>
          </cell>
          <cell r="Q191">
            <v>11758</v>
          </cell>
          <cell r="R191" t="str">
            <v>SABONETEIRA PLASTICA TIPO DISPENSER PARA SABONETE LIQUIDO COM RESERVATORIO 800 A 1500 ML</v>
          </cell>
          <cell r="S191" t="str">
            <v>UN</v>
          </cell>
          <cell r="T191">
            <v>17</v>
          </cell>
          <cell r="U191">
            <v>44.98</v>
          </cell>
          <cell r="W191">
            <v>55.64</v>
          </cell>
          <cell r="X191">
            <v>945.88</v>
          </cell>
        </row>
        <row r="192">
          <cell r="P192" t="str">
            <v>SINAPI-I</v>
          </cell>
          <cell r="Q192" t="str">
            <v>21102</v>
          </cell>
          <cell r="R192" t="str">
            <v>PORTA TOALHA BANHO EM METAL CROMADO, TIPO BARRA</v>
          </cell>
          <cell r="S192" t="str">
            <v>UN</v>
          </cell>
          <cell r="T192">
            <v>13</v>
          </cell>
          <cell r="U192">
            <v>95.07</v>
          </cell>
          <cell r="W192">
            <v>117.61</v>
          </cell>
          <cell r="X192">
            <v>1528.93</v>
          </cell>
        </row>
        <row r="193">
          <cell r="P193" t="str">
            <v>SINAPI-I</v>
          </cell>
          <cell r="Q193">
            <v>36204</v>
          </cell>
          <cell r="R193" t="str">
            <v>BARRA DE APOIO RETA, EM ACO INOX POLIDO, COMPRIMENTO 60CM, DIAMETRO MINIMO 3 CM</v>
          </cell>
          <cell r="S193" t="str">
            <v>UN</v>
          </cell>
          <cell r="T193">
            <v>6</v>
          </cell>
          <cell r="U193">
            <v>269.77</v>
          </cell>
          <cell r="W193">
            <v>333.73</v>
          </cell>
          <cell r="X193">
            <v>2002.38</v>
          </cell>
        </row>
        <row r="194">
          <cell r="P194" t="str">
            <v>SINAPI</v>
          </cell>
          <cell r="Q194" t="str">
            <v>100865</v>
          </cell>
          <cell r="R194" t="str">
            <v>BARRA DE APOIO LATERAL ARTICULADA, COM TRAVA, EM ACO INOX POLIDO, FIXADA NA PAREDE - FORNECIMENTO E INSTALAÇÃO. AF_01/2020</v>
          </cell>
          <cell r="S194" t="str">
            <v>UN</v>
          </cell>
          <cell r="T194">
            <v>3</v>
          </cell>
          <cell r="U194">
            <v>845.48</v>
          </cell>
          <cell r="W194">
            <v>1045.94</v>
          </cell>
          <cell r="X194">
            <v>3137.82</v>
          </cell>
        </row>
        <row r="195">
          <cell r="P195" t="str">
            <v>SINAPI</v>
          </cell>
          <cell r="Q195" t="str">
            <v>100863</v>
          </cell>
          <cell r="R195" t="str">
            <v>BARRA DE APOIO EM "L", EM ACO INOX POLIDO 70 X 70 CM, FIXADA NA PAREDE - FORNECIMENTO E INSTALACAO. AF_01/2020</v>
          </cell>
          <cell r="S195" t="str">
            <v>UN</v>
          </cell>
          <cell r="T195">
            <v>1</v>
          </cell>
          <cell r="U195">
            <v>803.16</v>
          </cell>
          <cell r="W195">
            <v>993.59</v>
          </cell>
          <cell r="X195">
            <v>993.59</v>
          </cell>
        </row>
        <row r="196">
          <cell r="P196" t="str">
            <v>SINAPI-I</v>
          </cell>
          <cell r="Q196">
            <v>37399</v>
          </cell>
          <cell r="R196" t="str">
            <v>CABIDE/GANCHO DE BANHEIRO SIMPLES EM METAL CROMADO</v>
          </cell>
          <cell r="S196" t="str">
            <v>UN</v>
          </cell>
          <cell r="T196">
            <v>10</v>
          </cell>
          <cell r="U196">
            <v>52.92</v>
          </cell>
          <cell r="W196">
            <v>65.47</v>
          </cell>
          <cell r="X196">
            <v>654.70000000000005</v>
          </cell>
        </row>
        <row r="197">
          <cell r="P197" t="str">
            <v>SINAPI-I</v>
          </cell>
          <cell r="Q197">
            <v>37399</v>
          </cell>
          <cell r="R197" t="str">
            <v>CABIDE/GANCHO DE BANHEIRO SIMPLES EM METAL CROMADO</v>
          </cell>
          <cell r="S197" t="str">
            <v>UN</v>
          </cell>
          <cell r="T197">
            <v>1</v>
          </cell>
          <cell r="U197">
            <v>52.92</v>
          </cell>
          <cell r="W197">
            <v>65.47</v>
          </cell>
          <cell r="X197">
            <v>65.47</v>
          </cell>
        </row>
        <row r="198">
          <cell r="P198" t="str">
            <v>SINAPI-I</v>
          </cell>
          <cell r="Q198">
            <v>37399</v>
          </cell>
          <cell r="R198" t="str">
            <v>CABIDE/GANCHO DE BANHEIRO SIMPLES EM METAL CROMADO</v>
          </cell>
          <cell r="S198" t="str">
            <v>UN</v>
          </cell>
          <cell r="T198">
            <v>94</v>
          </cell>
          <cell r="U198">
            <v>52.92</v>
          </cell>
          <cell r="W198">
            <v>65.47</v>
          </cell>
          <cell r="X198">
            <v>6154.18</v>
          </cell>
        </row>
        <row r="199">
          <cell r="P199" t="str">
            <v>SINAPI-I</v>
          </cell>
          <cell r="Q199">
            <v>36204</v>
          </cell>
          <cell r="R199" t="str">
            <v>BARRA DE APOIO RETA, EM ACO INOX POLIDO, COMPRIMENTO 60CM, DIAMETRO MINIMO 3 CM</v>
          </cell>
          <cell r="S199" t="str">
            <v>UN</v>
          </cell>
          <cell r="T199">
            <v>9.9</v>
          </cell>
          <cell r="U199">
            <v>269.77</v>
          </cell>
          <cell r="W199">
            <v>333.73</v>
          </cell>
          <cell r="X199">
            <v>3303.93</v>
          </cell>
        </row>
        <row r="200">
          <cell r="R200" t="str">
            <v>INSTALAÇÃO DE GÁS COMBUSTÍVEL</v>
          </cell>
          <cell r="X200">
            <v>6935.93</v>
          </cell>
        </row>
        <row r="201">
          <cell r="P201" t="str">
            <v>Composição</v>
          </cell>
          <cell r="Q201" t="str">
            <v>031</v>
          </cell>
          <cell r="R201" t="str">
            <v>ABRIGO PARA CENTRAL DE GLP, EM CONCRETO 1,80X1,05X2,05</v>
          </cell>
          <cell r="S201" t="str">
            <v xml:space="preserve">UN    </v>
          </cell>
          <cell r="T201">
            <v>0.78</v>
          </cell>
          <cell r="U201">
            <v>3105.95</v>
          </cell>
          <cell r="W201">
            <v>3842.37</v>
          </cell>
          <cell r="X201">
            <v>2997.05</v>
          </cell>
        </row>
        <row r="202">
          <cell r="P202" t="str">
            <v>Composição</v>
          </cell>
          <cell r="Q202" t="str">
            <v>032</v>
          </cell>
          <cell r="R202" t="str">
            <v>TELA METÁLICA PARA VENTILAÇÃO COM REQUADRO EM ALUMÍNIO</v>
          </cell>
          <cell r="S202" t="str">
            <v>M²</v>
          </cell>
          <cell r="T202">
            <v>0.32</v>
          </cell>
          <cell r="U202">
            <v>187.86</v>
          </cell>
          <cell r="W202">
            <v>232.4</v>
          </cell>
          <cell r="X202">
            <v>74.37</v>
          </cell>
        </row>
        <row r="203">
          <cell r="P203" t="str">
            <v>SINAPI</v>
          </cell>
          <cell r="Q203" t="str">
            <v>92690</v>
          </cell>
          <cell r="R203" t="str">
            <v>TUBO DE AÇO PRETO SEM COSTURA, CLASSE MÉDIA, CONEXÃO SOLDADA, DN 20 (3/4"), INSTALADO EM RAMAIS E SUB-RAMAIS DE GÁS - FORNECIMENTO E INSTALAÇÃO. AF_10/2020</v>
          </cell>
          <cell r="S203" t="str">
            <v>M</v>
          </cell>
          <cell r="T203">
            <v>22</v>
          </cell>
          <cell r="U203">
            <v>70.569999999999993</v>
          </cell>
          <cell r="W203">
            <v>87.3</v>
          </cell>
          <cell r="X203">
            <v>1920.6</v>
          </cell>
        </row>
        <row r="204">
          <cell r="P204" t="str">
            <v>Composição</v>
          </cell>
          <cell r="Q204" t="str">
            <v>033</v>
          </cell>
          <cell r="R204" t="str">
            <v>ENVELOPAMENTO DE CONCRETO - 3CM</v>
          </cell>
          <cell r="S204" t="str">
            <v>M</v>
          </cell>
          <cell r="T204">
            <v>22</v>
          </cell>
          <cell r="U204">
            <v>18.829999999999998</v>
          </cell>
          <cell r="W204">
            <v>23.29</v>
          </cell>
          <cell r="X204">
            <v>512.38</v>
          </cell>
        </row>
        <row r="205">
          <cell r="P205" t="str">
            <v>SINAPI-I</v>
          </cell>
          <cell r="Q205">
            <v>39429</v>
          </cell>
          <cell r="R205" t="str">
            <v>PERFIL TABICA ABERTA, PERFURADA, FORMATO Z, EM ACO GALVANIZADO NATURAL, LARGURA APROXIMADA 40 MM, PARA ESTRUTURA FORRO DRYWALL</v>
          </cell>
          <cell r="S205" t="str">
            <v>M</v>
          </cell>
          <cell r="T205">
            <v>2</v>
          </cell>
          <cell r="U205">
            <v>6.69</v>
          </cell>
          <cell r="W205">
            <v>8.2799999999999994</v>
          </cell>
          <cell r="X205">
            <v>16.559999999999999</v>
          </cell>
        </row>
        <row r="206">
          <cell r="P206" t="str">
            <v>SINAPI-I</v>
          </cell>
          <cell r="Q206">
            <v>11749</v>
          </cell>
          <cell r="R206" t="str">
            <v>VALVULA DE ESFERA BRUTA EM BRONZE, BITOLA 3/4"</v>
          </cell>
          <cell r="S206" t="str">
            <v>UN</v>
          </cell>
          <cell r="T206">
            <v>4</v>
          </cell>
          <cell r="U206">
            <v>72.849999999999994</v>
          </cell>
          <cell r="W206">
            <v>90.12</v>
          </cell>
          <cell r="X206">
            <v>360.48</v>
          </cell>
        </row>
        <row r="207">
          <cell r="P207" t="str">
            <v>SINAPI-I</v>
          </cell>
          <cell r="Q207">
            <v>9885</v>
          </cell>
          <cell r="R207" t="str">
            <v>UNIAO DE FERRO GALVANIZADO, COM ROSCA BSP, COM ASSENTO PLANO, DE 3/4"</v>
          </cell>
          <cell r="S207" t="str">
            <v>UN</v>
          </cell>
          <cell r="T207">
            <v>3</v>
          </cell>
          <cell r="U207">
            <v>32.590000000000003</v>
          </cell>
          <cell r="W207">
            <v>40.32</v>
          </cell>
          <cell r="X207">
            <v>120.96</v>
          </cell>
        </row>
        <row r="208">
          <cell r="P208" t="str">
            <v>SINAPI-I</v>
          </cell>
          <cell r="Q208" t="str">
            <v>4178</v>
          </cell>
          <cell r="R208" t="str">
            <v>NIPLE DE FERRO GALVANIZADO, COM ROSCA BSP, DE 3/4"</v>
          </cell>
          <cell r="S208" t="str">
            <v>UN</v>
          </cell>
          <cell r="T208">
            <v>6</v>
          </cell>
          <cell r="U208">
            <v>7.94</v>
          </cell>
          <cell r="W208">
            <v>9.82</v>
          </cell>
          <cell r="X208">
            <v>58.92</v>
          </cell>
        </row>
        <row r="209">
          <cell r="P209" t="str">
            <v>SINAPI-I</v>
          </cell>
          <cell r="Q209" t="str">
            <v>4177</v>
          </cell>
          <cell r="R209" t="str">
            <v>NIPLE DE FERRO GALVANIZADO, COM ROSCA BSP, DE 1/2"</v>
          </cell>
          <cell r="S209" t="str">
            <v>UN</v>
          </cell>
          <cell r="T209">
            <v>4</v>
          </cell>
          <cell r="U209">
            <v>5.72</v>
          </cell>
          <cell r="W209">
            <v>7.08</v>
          </cell>
          <cell r="X209">
            <v>28.32</v>
          </cell>
        </row>
        <row r="210">
          <cell r="P210" t="str">
            <v>Composição</v>
          </cell>
          <cell r="Q210" t="str">
            <v>034</v>
          </cell>
          <cell r="R210" t="str">
            <v>NIPLE DE FERRO GALVANIZADO, COM ROSCA BSP, DE 1/4"</v>
          </cell>
          <cell r="S210" t="str">
            <v xml:space="preserve">UN    </v>
          </cell>
          <cell r="T210">
            <v>4</v>
          </cell>
          <cell r="U210">
            <v>14.38</v>
          </cell>
          <cell r="W210">
            <v>17.79</v>
          </cell>
          <cell r="X210">
            <v>71.16</v>
          </cell>
        </row>
        <row r="211">
          <cell r="P211" t="str">
            <v>SINAPI-I</v>
          </cell>
          <cell r="Q211">
            <v>6302</v>
          </cell>
          <cell r="R211" t="str">
            <v>TE DE REDUCAO DE FERRO GALVANIZADO, COM ROSCA BSP, DE 3/4" X 1/2"</v>
          </cell>
          <cell r="S211" t="str">
            <v>UN</v>
          </cell>
          <cell r="T211">
            <v>1</v>
          </cell>
          <cell r="U211">
            <v>15.78</v>
          </cell>
          <cell r="W211">
            <v>19.52</v>
          </cell>
          <cell r="X211">
            <v>19.52</v>
          </cell>
        </row>
        <row r="212">
          <cell r="P212" t="str">
            <v>SINAPI-I</v>
          </cell>
          <cell r="Q212">
            <v>4186</v>
          </cell>
          <cell r="R212" t="str">
            <v>NIPLE DE REDUCAO DE FERRO GALVANIZADO, COM ROSCA BSP, DE 1/2" X 1/4"</v>
          </cell>
          <cell r="S212" t="str">
            <v>UN</v>
          </cell>
          <cell r="T212">
            <v>1</v>
          </cell>
          <cell r="U212">
            <v>6.98</v>
          </cell>
          <cell r="W212">
            <v>8.6300000000000008</v>
          </cell>
          <cell r="X212">
            <v>8.6300000000000008</v>
          </cell>
        </row>
        <row r="213">
          <cell r="P213" t="str">
            <v>SINAPI</v>
          </cell>
          <cell r="Q213">
            <v>92953</v>
          </cell>
          <cell r="R213" t="str">
            <v>LUVA DE REDUÇÃO, EM FERRO GALVANIZADO, 3/4" X 1/2", CONEXÃO ROSQUEADA, INSTALADO EM RAMAIS E SUB-RAMAIS DE GÁS - FORNECIMENTO E INSTALAÇÃO. AF_10/2020</v>
          </cell>
          <cell r="S213" t="str">
            <v>UN</v>
          </cell>
          <cell r="T213">
            <v>2</v>
          </cell>
          <cell r="U213">
            <v>26.02</v>
          </cell>
          <cell r="W213">
            <v>32.19</v>
          </cell>
          <cell r="X213">
            <v>64.38</v>
          </cell>
        </row>
        <row r="214">
          <cell r="P214" t="str">
            <v>SINAPI</v>
          </cell>
          <cell r="Q214">
            <v>92953</v>
          </cell>
          <cell r="R214" t="str">
            <v>LUVA DE REDUÇÃO, EM FERRO GALVANIZADO, 3/4" X 1/2", CONEXÃO ROSQUEADA, INSTALADO EM RAMAIS E SUB-RAMAIS DE GÁS - FORNECIMENTO E INSTALAÇÃO. AF_10/2020</v>
          </cell>
          <cell r="S214" t="str">
            <v>UN</v>
          </cell>
          <cell r="T214">
            <v>2</v>
          </cell>
          <cell r="U214">
            <v>26.02</v>
          </cell>
          <cell r="W214">
            <v>32.19</v>
          </cell>
          <cell r="X214">
            <v>64.38</v>
          </cell>
        </row>
        <row r="215">
          <cell r="P215" t="str">
            <v>SINAPI</v>
          </cell>
          <cell r="Q215">
            <v>92699</v>
          </cell>
          <cell r="R215" t="str">
            <v>JOELHO 90 GRAUS, EM FERRO GALVANIZADO, CONEXÃO ROSQUEADA, DN 15 (1/2"), INSTALADO EM RAMAIS E SUB-RAMAIS DE GÁS - FORNECIMENTO E INSTALAÇÃO. AF_10/2020</v>
          </cell>
          <cell r="S215" t="str">
            <v>UN</v>
          </cell>
          <cell r="T215">
            <v>2</v>
          </cell>
          <cell r="U215">
            <v>21.18</v>
          </cell>
          <cell r="W215">
            <v>26.2</v>
          </cell>
          <cell r="X215">
            <v>52.4</v>
          </cell>
        </row>
        <row r="216">
          <cell r="P216" t="str">
            <v>SINAPI-I</v>
          </cell>
          <cell r="Q216">
            <v>11756</v>
          </cell>
          <cell r="R216" t="str">
            <v>REGISTRO OU REGULADOR DE GAS COZINHA, VAZAO DE 2 KG/H, 2,8 KPA</v>
          </cell>
          <cell r="S216" t="str">
            <v>UN</v>
          </cell>
          <cell r="T216">
            <v>1</v>
          </cell>
          <cell r="U216">
            <v>51.75</v>
          </cell>
          <cell r="W216">
            <v>64.02</v>
          </cell>
          <cell r="X216">
            <v>64.02</v>
          </cell>
        </row>
        <row r="217">
          <cell r="P217" t="str">
            <v>SINAPI-I</v>
          </cell>
          <cell r="Q217">
            <v>12898</v>
          </cell>
          <cell r="R217" t="str">
            <v>MANOMETRO COM CAIXA EM ACO PINTADO, ESCALA *10* KGF/CM2 (*10* BAR), DIAMETRO NOMINAL DE 100 MM, CONEXAO DE 1/2"</v>
          </cell>
          <cell r="S217" t="str">
            <v>UN</v>
          </cell>
          <cell r="T217">
            <v>1</v>
          </cell>
          <cell r="U217">
            <v>233.24</v>
          </cell>
          <cell r="W217">
            <v>288.54000000000002</v>
          </cell>
          <cell r="X217">
            <v>288.54000000000002</v>
          </cell>
        </row>
        <row r="218">
          <cell r="P218" t="str">
            <v>SINAPI-I</v>
          </cell>
          <cell r="Q218">
            <v>37457</v>
          </cell>
          <cell r="R218" t="str">
            <v>MANGUEIRA CRISTAL, LISA, PVC TRANSPARENTE, 3/8" X 1,5 MM</v>
          </cell>
          <cell r="S218" t="str">
            <v>M</v>
          </cell>
          <cell r="T218">
            <v>2</v>
          </cell>
          <cell r="U218">
            <v>2.86</v>
          </cell>
          <cell r="W218">
            <v>3.54</v>
          </cell>
          <cell r="X218">
            <v>7.08</v>
          </cell>
        </row>
        <row r="219">
          <cell r="P219" t="str">
            <v>SINAPI-I</v>
          </cell>
          <cell r="Q219">
            <v>11756</v>
          </cell>
          <cell r="R219" t="str">
            <v>REGISTRO OU REGULADOR DE GAS COZINHA, VAZAO DE 2 KG/H, 2,8 KPA</v>
          </cell>
          <cell r="S219" t="str">
            <v>UN</v>
          </cell>
          <cell r="T219">
            <v>2</v>
          </cell>
          <cell r="U219">
            <v>51.75</v>
          </cell>
          <cell r="W219">
            <v>64.02</v>
          </cell>
          <cell r="X219">
            <v>128.04</v>
          </cell>
        </row>
        <row r="220">
          <cell r="P220" t="str">
            <v>Composição</v>
          </cell>
          <cell r="Q220" t="str">
            <v>035</v>
          </cell>
          <cell r="R220" t="str">
            <v>PLACA DE SINALIZAÇÃO EM PCV - PROIBIDO FUMAR</v>
          </cell>
          <cell r="S220" t="str">
            <v xml:space="preserve">UN    </v>
          </cell>
          <cell r="T220">
            <v>1</v>
          </cell>
          <cell r="U220">
            <v>24.88</v>
          </cell>
          <cell r="W220">
            <v>30.78</v>
          </cell>
          <cell r="X220">
            <v>30.78</v>
          </cell>
        </row>
        <row r="221">
          <cell r="P221" t="str">
            <v>Composição</v>
          </cell>
          <cell r="Q221" t="str">
            <v>036</v>
          </cell>
          <cell r="R221" t="str">
            <v>PLACA DE SINALIZAÇÃO EM PCV - PERIGO INFLAMÁVEL</v>
          </cell>
          <cell r="S221" t="str">
            <v xml:space="preserve">UN    </v>
          </cell>
          <cell r="T221">
            <v>1</v>
          </cell>
          <cell r="U221">
            <v>38.28</v>
          </cell>
          <cell r="W221">
            <v>47.36</v>
          </cell>
          <cell r="X221">
            <v>47.36</v>
          </cell>
        </row>
        <row r="222">
          <cell r="R222" t="str">
            <v>SISTEMA DE PROTEÇÃO CONTRA INCÊNDIO</v>
          </cell>
          <cell r="X222">
            <v>46639.519999999997</v>
          </cell>
        </row>
        <row r="223">
          <cell r="P223" t="str">
            <v>SINAPI</v>
          </cell>
          <cell r="Q223" t="str">
            <v>101909</v>
          </cell>
          <cell r="R223" t="str">
            <v>EXTINTOR DE INCÊNDIO PORTÁTIL COM CARGA DE PQS DE 6 KG, CLASSE BC - FORNECIMENTO E INSTALAÇÃO. AF_10/2020_PE</v>
          </cell>
          <cell r="S223" t="str">
            <v>UN</v>
          </cell>
          <cell r="T223">
            <v>5</v>
          </cell>
          <cell r="U223">
            <v>261.25</v>
          </cell>
          <cell r="W223">
            <v>323.19</v>
          </cell>
          <cell r="X223">
            <v>1615.95</v>
          </cell>
        </row>
        <row r="224">
          <cell r="P224" t="str">
            <v>SINAPI</v>
          </cell>
          <cell r="Q224" t="str">
            <v>101907</v>
          </cell>
          <cell r="R224" t="str">
            <v>EXTINTOR DE INCÊNDIO PORTÁTIL COM CARGA DE CO2 DE 6 KG, CLASSE BC - FORNECIMENTO E INSTALAÇÃO. AF_10/2020_PE</v>
          </cell>
          <cell r="S224" t="str">
            <v>UN</v>
          </cell>
          <cell r="T224">
            <v>1</v>
          </cell>
          <cell r="U224">
            <v>732.15</v>
          </cell>
          <cell r="W224">
            <v>905.74</v>
          </cell>
          <cell r="X224">
            <v>905.74</v>
          </cell>
        </row>
        <row r="225">
          <cell r="P225" t="str">
            <v>SINAPI-I</v>
          </cell>
          <cell r="Q225">
            <v>12402</v>
          </cell>
          <cell r="R225" t="str">
            <v>COTOVELO 45 GRAUS DE FERRO GALVANIZADO, COM ROSCA BSP, DE 2 1/2"</v>
          </cell>
          <cell r="S225" t="str">
            <v>UN</v>
          </cell>
          <cell r="T225">
            <v>2</v>
          </cell>
          <cell r="U225">
            <v>102.22</v>
          </cell>
          <cell r="W225">
            <v>126.46</v>
          </cell>
          <cell r="X225">
            <v>252.92</v>
          </cell>
        </row>
        <row r="226">
          <cell r="P226" t="str">
            <v>SINAPI-I</v>
          </cell>
          <cell r="Q226">
            <v>3453</v>
          </cell>
          <cell r="R226" t="str">
            <v>COTOVELO 90 GRAUS DE FERRO GALVANIZADO, COM ROSCA BSP MACHO/FEMEA, DE 2 1/2"</v>
          </cell>
          <cell r="S226" t="str">
            <v>UN</v>
          </cell>
          <cell r="T226">
            <v>10</v>
          </cell>
          <cell r="U226">
            <v>120.01</v>
          </cell>
          <cell r="W226">
            <v>148.46</v>
          </cell>
          <cell r="X226">
            <v>1484.6</v>
          </cell>
        </row>
        <row r="227">
          <cell r="P227" t="str">
            <v>SINAPI-I</v>
          </cell>
          <cell r="Q227">
            <v>1791</v>
          </cell>
          <cell r="R227" t="str">
            <v>CURVA 90 GRAUS DE FERRO GALVANIZADO, COM ROSCA BSP FEMEA, DE 2 1/2"</v>
          </cell>
          <cell r="S227" t="str">
            <v>UN</v>
          </cell>
          <cell r="T227">
            <v>1</v>
          </cell>
          <cell r="U227">
            <v>232.43</v>
          </cell>
          <cell r="W227">
            <v>287.54000000000002</v>
          </cell>
          <cell r="X227">
            <v>287.54000000000002</v>
          </cell>
        </row>
        <row r="228">
          <cell r="P228" t="str">
            <v>SINAPI-I</v>
          </cell>
          <cell r="Q228">
            <v>4208</v>
          </cell>
          <cell r="R228" t="str">
            <v>NIPLE DE FERRO GALVANIZADO, COM ROSCA BSP, DE 2 1/2"</v>
          </cell>
          <cell r="S228" t="str">
            <v>UN</v>
          </cell>
          <cell r="T228">
            <v>11</v>
          </cell>
          <cell r="U228">
            <v>54.52</v>
          </cell>
          <cell r="W228">
            <v>67.45</v>
          </cell>
          <cell r="X228">
            <v>741.95</v>
          </cell>
        </row>
        <row r="229">
          <cell r="P229" t="str">
            <v>SINAPI</v>
          </cell>
          <cell r="Q229" t="str">
            <v>92357</v>
          </cell>
          <cell r="R229" t="str">
            <v>TÊ, EM FERRO GALVANIZADO, DN 65 (2 1/2"), CONEXÃO ROSQUEADA, INSTALADO EM PRUMADAS - FORNECIMENTO E INSTALAÇÃO. AF_10/2020</v>
          </cell>
          <cell r="S229" t="str">
            <v>UN</v>
          </cell>
          <cell r="T229">
            <v>2</v>
          </cell>
          <cell r="U229">
            <v>204.5</v>
          </cell>
          <cell r="W229">
            <v>252.99</v>
          </cell>
          <cell r="X229">
            <v>505.98</v>
          </cell>
        </row>
        <row r="230">
          <cell r="P230" t="str">
            <v>SINAPI</v>
          </cell>
          <cell r="Q230" t="str">
            <v>94463</v>
          </cell>
          <cell r="R230" t="str">
            <v>TUBO DE AÇO GALVANIZADO COM COSTURA, CLASSE MÉDIA, DN 65 MM (2 1/2"), CONEXÃO ROSQUEADA, INSTALADO EM RESERVAÇÃO PREDIAL DE ÁGUA - FORNECIMENTO E INSTALAÇÃO. AF_04/2024</v>
          </cell>
          <cell r="S230" t="str">
            <v>M</v>
          </cell>
          <cell r="T230">
            <v>61.56</v>
          </cell>
          <cell r="U230">
            <v>118.18</v>
          </cell>
          <cell r="W230">
            <v>146.19999999999999</v>
          </cell>
          <cell r="X230">
            <v>9000.07</v>
          </cell>
        </row>
        <row r="231">
          <cell r="P231" t="str">
            <v>SINAPI-I</v>
          </cell>
          <cell r="Q231">
            <v>10899</v>
          </cell>
          <cell r="R231" t="str">
            <v>ADAPTADOR EM LATAO, ENGATE RAPIDO 2 1/2" X ROSCA INTERNA 5 FIOS 2 1/2", PARA INSTALACAO PREDIAL DE COMBATE A INCENDIO</v>
          </cell>
          <cell r="S231" t="str">
            <v>UN</v>
          </cell>
          <cell r="T231">
            <v>3</v>
          </cell>
          <cell r="U231">
            <v>72.28</v>
          </cell>
          <cell r="W231">
            <v>89.42</v>
          </cell>
          <cell r="X231">
            <v>268.26</v>
          </cell>
        </row>
        <row r="232">
          <cell r="P232" t="str">
            <v>SINAPI</v>
          </cell>
          <cell r="Q232" t="str">
            <v>101912</v>
          </cell>
          <cell r="R232" t="str">
            <v>ABRIGO PARA HIDRANTE, 75X45X17CM, COM REGISTRO GLOBO ANGULAR 45 GRAUS 2 1/2", ADAPTADOR STORZ 2 1/2", MANGUEIRA DE INCÊNDIO 15M 2 1/2" E ESGUICHO EM LATÃO 2 1/2" - FORNECIMENTO E INSTALAÇÃO. AF_10/2020</v>
          </cell>
          <cell r="S232" t="str">
            <v>UN</v>
          </cell>
          <cell r="T232">
            <v>2</v>
          </cell>
          <cell r="U232">
            <v>1857.93</v>
          </cell>
          <cell r="W232">
            <v>2298.4499999999998</v>
          </cell>
          <cell r="X232">
            <v>4596.8999999999996</v>
          </cell>
        </row>
        <row r="233">
          <cell r="P233" t="str">
            <v>SINAPI-I</v>
          </cell>
          <cell r="Q233">
            <v>20971</v>
          </cell>
          <cell r="R233" t="str">
            <v>CHAVE DUPLA PARA CONEXOES TIPO STORZ, ENGATE RAPIDO 1 1/2" X 2 1/2", EM LATAO, PARA INSTALACAO PREDIAL COMBATE A INCENDIO</v>
          </cell>
          <cell r="S233" t="str">
            <v>UN</v>
          </cell>
          <cell r="T233">
            <v>2</v>
          </cell>
          <cell r="U233">
            <v>15.71</v>
          </cell>
          <cell r="W233">
            <v>19.43</v>
          </cell>
          <cell r="X233">
            <v>38.86</v>
          </cell>
        </row>
        <row r="234">
          <cell r="P234" t="str">
            <v>SINAPI</v>
          </cell>
          <cell r="Q234">
            <v>92896</v>
          </cell>
          <cell r="R234" t="str">
            <v>UNIÃO, EM FERRO GALVANIZADO, DN 65 (2 1/2"), CONEXÃO ROSQUEADA, INSTALADO EM REDE DE ALIMENTAÇÃO PARA HIDRANTE - FORNECIMENTO E INSTALAÇÃO. AF_10/2020</v>
          </cell>
          <cell r="S234" t="str">
            <v>UN</v>
          </cell>
          <cell r="T234">
            <v>4</v>
          </cell>
          <cell r="U234">
            <v>211.26</v>
          </cell>
          <cell r="W234">
            <v>261.35000000000002</v>
          </cell>
          <cell r="X234">
            <v>1045.4000000000001</v>
          </cell>
        </row>
        <row r="235">
          <cell r="P235" t="str">
            <v>SINAPI-I</v>
          </cell>
          <cell r="Q235">
            <v>1165</v>
          </cell>
          <cell r="R235" t="str">
            <v>CAP OU TAMPAO DE FERRO GALVANIZADO, COM ROSCA BSP, DE 1 1/2"</v>
          </cell>
          <cell r="S235" t="str">
            <v>UN</v>
          </cell>
          <cell r="T235">
            <v>2</v>
          </cell>
          <cell r="U235">
            <v>19.440000000000001</v>
          </cell>
          <cell r="W235">
            <v>24.05</v>
          </cell>
          <cell r="X235">
            <v>48.1</v>
          </cell>
        </row>
        <row r="236">
          <cell r="P236" t="str">
            <v>SINAPI-I</v>
          </cell>
          <cell r="Q236">
            <v>10905</v>
          </cell>
          <cell r="R236" t="str">
            <v>TAMPAO COM CORRENTE, EM LATAO, ENGATE RAPIDO 2 1/2", PARA INSTALACAO PREDIAL DE COMBATE A INCENDIO</v>
          </cell>
          <cell r="S236" t="str">
            <v>UN</v>
          </cell>
          <cell r="T236">
            <v>1</v>
          </cell>
          <cell r="U236">
            <v>86.42</v>
          </cell>
          <cell r="W236">
            <v>106.91</v>
          </cell>
          <cell r="X236">
            <v>106.91</v>
          </cell>
        </row>
        <row r="237">
          <cell r="P237" t="str">
            <v>SINAPI-I</v>
          </cell>
          <cell r="Q237">
            <v>6011</v>
          </cell>
          <cell r="R237" t="str">
            <v>REGISTRO GAVETA BRUTO EM LATAO FORJADO, BITOLA 2 1/2"</v>
          </cell>
          <cell r="S237" t="str">
            <v>UN</v>
          </cell>
          <cell r="T237">
            <v>5</v>
          </cell>
          <cell r="U237">
            <v>348.44</v>
          </cell>
          <cell r="W237">
            <v>431.06</v>
          </cell>
          <cell r="X237">
            <v>2155.3000000000002</v>
          </cell>
        </row>
        <row r="238">
          <cell r="P238" t="str">
            <v>SINAPI</v>
          </cell>
          <cell r="Q238" t="str">
            <v>103009</v>
          </cell>
          <cell r="R238" t="str">
            <v>VÁLVULA DE RETENÇÃO VERTICAL, DE BRONZE, ROSCÁVEL, 2 1/2" - FORNECIMENTO E INSTALAÇÃO. AF_08/2021</v>
          </cell>
          <cell r="S238" t="str">
            <v>UN</v>
          </cell>
          <cell r="T238">
            <v>2</v>
          </cell>
          <cell r="U238">
            <v>395.47</v>
          </cell>
          <cell r="W238">
            <v>489.24</v>
          </cell>
          <cell r="X238">
            <v>978.48</v>
          </cell>
        </row>
        <row r="239">
          <cell r="P239" t="str">
            <v>SINAPI</v>
          </cell>
          <cell r="Q239" t="str">
            <v>97599</v>
          </cell>
          <cell r="R239" t="str">
            <v>LUMINÁRIA DE EMERGÊNCIA, COM 30 LÂMPADAS LED DE 2 W, SEM REATOR - FORNECIMENTO E INSTALAÇÃO. AF_09/2024</v>
          </cell>
          <cell r="S239" t="str">
            <v>UN</v>
          </cell>
          <cell r="T239">
            <v>20</v>
          </cell>
          <cell r="U239">
            <v>17.54</v>
          </cell>
          <cell r="W239">
            <v>21.7</v>
          </cell>
          <cell r="X239">
            <v>434</v>
          </cell>
        </row>
        <row r="240">
          <cell r="P240" t="str">
            <v>Composição</v>
          </cell>
          <cell r="Q240" t="str">
            <v>037</v>
          </cell>
          <cell r="R240" t="str">
            <v>MARCAÇÃO NO PISO - 1 X 1 M PARA EXTINTOR</v>
          </cell>
          <cell r="S240" t="str">
            <v>M²</v>
          </cell>
          <cell r="T240">
            <v>6</v>
          </cell>
          <cell r="U240">
            <v>53</v>
          </cell>
          <cell r="W240">
            <v>65.569999999999993</v>
          </cell>
          <cell r="X240">
            <v>393.42</v>
          </cell>
        </row>
        <row r="241">
          <cell r="P241" t="str">
            <v>Composição</v>
          </cell>
          <cell r="Q241" t="str">
            <v>038</v>
          </cell>
          <cell r="R241" t="str">
            <v>MARCAÇÃO NO PISO - 1 X 1 M PARA HIDRANTE</v>
          </cell>
          <cell r="S241" t="str">
            <v>M²</v>
          </cell>
          <cell r="T241">
            <v>2</v>
          </cell>
          <cell r="U241">
            <v>53</v>
          </cell>
          <cell r="W241">
            <v>65.569999999999993</v>
          </cell>
          <cell r="X241">
            <v>131.13999999999999</v>
          </cell>
        </row>
        <row r="242">
          <cell r="P242" t="str">
            <v>SINAPI-I</v>
          </cell>
          <cell r="Q242">
            <v>730</v>
          </cell>
          <cell r="R242" t="str">
            <v>MOTOBOMBA AUTOESCORVANTE MOTOR ELETRICO TRIFASICO 7,4HP BOCA DIAMETRO DE SUCCAO X RECLAQUE: 2"X2", HM/ Q = 10 M / 73,5 M3/H A 28 M / 8,2 M3 /H</v>
          </cell>
          <cell r="S242" t="str">
            <v>UN</v>
          </cell>
          <cell r="T242">
            <v>2</v>
          </cell>
          <cell r="U242">
            <v>8501.59</v>
          </cell>
          <cell r="W242">
            <v>10517.32</v>
          </cell>
          <cell r="X242">
            <v>21034.639999999999</v>
          </cell>
        </row>
        <row r="243">
          <cell r="P243" t="str">
            <v>Composição</v>
          </cell>
          <cell r="Q243" t="str">
            <v>039</v>
          </cell>
          <cell r="R243" t="str">
            <v>PLACA DE SINALIZAÇÃO EM PVC COD 25 (200X200) HIDRANTE DE INCÊNDIO</v>
          </cell>
          <cell r="S243" t="str">
            <v xml:space="preserve">UN    </v>
          </cell>
          <cell r="T243">
            <v>2</v>
          </cell>
          <cell r="U243">
            <v>24.88</v>
          </cell>
          <cell r="W243">
            <v>30.78</v>
          </cell>
          <cell r="X243">
            <v>61.56</v>
          </cell>
        </row>
        <row r="244">
          <cell r="P244" t="str">
            <v>Composição</v>
          </cell>
          <cell r="Q244" t="str">
            <v>040</v>
          </cell>
          <cell r="R244" t="str">
            <v>PLACA DE SINALIZAÇÃO EM PVC - SAÍDA DE EMERGÊNCIA</v>
          </cell>
          <cell r="S244" t="str">
            <v xml:space="preserve">UN    </v>
          </cell>
          <cell r="T244">
            <v>11</v>
          </cell>
          <cell r="U244">
            <v>22.3</v>
          </cell>
          <cell r="W244">
            <v>27.59</v>
          </cell>
          <cell r="X244">
            <v>303.49</v>
          </cell>
        </row>
        <row r="245">
          <cell r="P245" t="str">
            <v>Composição</v>
          </cell>
          <cell r="Q245" t="str">
            <v>041</v>
          </cell>
          <cell r="R245" t="str">
            <v>PLACA DE SINALIZAÇÃO EM PVC - MENSANGEM "SAÍDA"</v>
          </cell>
          <cell r="S245" t="str">
            <v xml:space="preserve">UN    </v>
          </cell>
          <cell r="T245">
            <v>3</v>
          </cell>
          <cell r="U245">
            <v>22.3</v>
          </cell>
          <cell r="W245">
            <v>27.59</v>
          </cell>
          <cell r="X245">
            <v>82.77</v>
          </cell>
        </row>
        <row r="246">
          <cell r="P246" t="str">
            <v>Composição</v>
          </cell>
          <cell r="Q246" t="str">
            <v>042</v>
          </cell>
          <cell r="R246" t="str">
            <v>PLACA DE SINALIZAÇÃO EM PCV (200X200) - EXTINTOR DE INCÊNDIO</v>
          </cell>
          <cell r="S246" t="str">
            <v xml:space="preserve">UN    </v>
          </cell>
          <cell r="T246">
            <v>6</v>
          </cell>
          <cell r="U246">
            <v>22.3</v>
          </cell>
          <cell r="W246">
            <v>27.59</v>
          </cell>
          <cell r="X246">
            <v>165.54</v>
          </cell>
        </row>
        <row r="248">
          <cell r="R248" t="str">
            <v>INSTALAÇÕES ELÉTRICAS - 220V</v>
          </cell>
          <cell r="X248">
            <v>98850.04</v>
          </cell>
        </row>
        <row r="249">
          <cell r="R249" t="str">
            <v>CENTRO DE DISTRIBUIÇÃO</v>
          </cell>
          <cell r="X249">
            <v>10729.47</v>
          </cell>
        </row>
        <row r="250">
          <cell r="P250" t="str">
            <v>SINAPI</v>
          </cell>
          <cell r="Q250" t="str">
            <v>101883</v>
          </cell>
          <cell r="R250" t="str">
            <v>QUADRO DE DISTRIBUIÇÃO DE ENERGIA EM CHAPA DE AÇO GALVANIZADO, DE EMBUTIR, COM BARRAMENTO TRIFÁSICO, PARA 18 DISJUNTORES DIN 100A - FORNECIMENTO E INSTALAÇÃO. AF_07/2025</v>
          </cell>
          <cell r="S250" t="str">
            <v>UN</v>
          </cell>
          <cell r="T250">
            <v>3</v>
          </cell>
          <cell r="U250">
            <v>634.07000000000005</v>
          </cell>
          <cell r="W250">
            <v>784.41</v>
          </cell>
          <cell r="X250">
            <v>2353.23</v>
          </cell>
        </row>
        <row r="251">
          <cell r="P251" t="str">
            <v>SINAPI</v>
          </cell>
          <cell r="Q251" t="str">
            <v>101879</v>
          </cell>
          <cell r="R251" t="str">
            <v>QUADRO DE DISTRIBUIÇÃO DE ENERGIA EM CHAPA DE AÇO GALVANIZADO, DE EMBUTIR, COM BARRAMENTO TRIFÁSICO, PARA 24 DISJUNTORES DIN 100A - FORNECIMENTO E INSTALAÇÃO. AF_07/2025</v>
          </cell>
          <cell r="S251" t="str">
            <v>UN</v>
          </cell>
          <cell r="T251">
            <v>1</v>
          </cell>
          <cell r="U251">
            <v>661.97</v>
          </cell>
          <cell r="W251">
            <v>818.92</v>
          </cell>
          <cell r="X251">
            <v>818.92</v>
          </cell>
        </row>
        <row r="252">
          <cell r="P252" t="str">
            <v>SINAPI</v>
          </cell>
          <cell r="Q252" t="str">
            <v>101880</v>
          </cell>
          <cell r="R252" t="str">
            <v>QUADRO DE DISTRIBUIÇÃO DE ENERGIA EM CHAPA DE AÇO GALVANIZADO, DE EMBUTIR, COM BARRAMENTO TRIFÁSICO, PARA 30 DISJUNTORES DIN 150A - FORNECIMENTO E INSTALAÇÃO. AF_07/2025</v>
          </cell>
          <cell r="S252" t="str">
            <v>UN</v>
          </cell>
          <cell r="T252">
            <v>2</v>
          </cell>
          <cell r="U252">
            <v>769.08</v>
          </cell>
          <cell r="W252">
            <v>951.43</v>
          </cell>
          <cell r="X252">
            <v>1902.86</v>
          </cell>
        </row>
        <row r="253">
          <cell r="P253" t="str">
            <v>SINAPI</v>
          </cell>
          <cell r="Q253" t="str">
            <v>101881</v>
          </cell>
          <cell r="R253" t="str">
            <v>QUADRO DE DISTRIBUIÇÃO DE ENERGIA EM CHAPA DE AÇO GALVANIZADO, DE EMBUTIR, COM BARRAMENTO TRIFÁSICO, PARA 40 DISJUNTORES DIN 100A - FORNECIMENTO E INSTALAÇÃO. AF_07/2025</v>
          </cell>
          <cell r="S253" t="str">
            <v>UN</v>
          </cell>
          <cell r="T253">
            <v>1</v>
          </cell>
          <cell r="U253">
            <v>1067.79</v>
          </cell>
          <cell r="W253">
            <v>1320.96</v>
          </cell>
          <cell r="X253">
            <v>1320.96</v>
          </cell>
        </row>
        <row r="254">
          <cell r="P254" t="str">
            <v>SINAPI</v>
          </cell>
          <cell r="Q254" t="str">
            <v>97359</v>
          </cell>
          <cell r="R254" t="str">
            <v>QUADRO DE MEDIÇÃO GERAL DE ENERGIA COM 8 MEDIDORES - FORNECIMENTO E INSTALAÇÃO. AF_07/2025</v>
          </cell>
          <cell r="S254" t="str">
            <v>UN</v>
          </cell>
          <cell r="T254">
            <v>1</v>
          </cell>
          <cell r="U254">
            <v>3502.95</v>
          </cell>
          <cell r="W254">
            <v>4333.5</v>
          </cell>
          <cell r="X254">
            <v>4333.5</v>
          </cell>
        </row>
        <row r="255">
          <cell r="R255" t="str">
            <v>DISJUNTORES</v>
          </cell>
          <cell r="X255">
            <v>6883.54</v>
          </cell>
        </row>
        <row r="256">
          <cell r="P256" t="str">
            <v>SINAPI</v>
          </cell>
          <cell r="Q256" t="str">
            <v>93653</v>
          </cell>
          <cell r="R256" t="str">
            <v>DISJUNTOR MONOPOLAR TIPO DIN, CORRENTE NOMINAL DE 10A - FORNECIMENTO E INSTALAÇÃO. AF_07/2025</v>
          </cell>
          <cell r="S256" t="str">
            <v>UN</v>
          </cell>
          <cell r="T256">
            <v>38</v>
          </cell>
          <cell r="U256">
            <v>11.46</v>
          </cell>
          <cell r="W256">
            <v>14.18</v>
          </cell>
          <cell r="X256">
            <v>538.84</v>
          </cell>
        </row>
        <row r="257">
          <cell r="P257" t="str">
            <v>SINAPI</v>
          </cell>
          <cell r="Q257" t="str">
            <v>93655</v>
          </cell>
          <cell r="R257" t="str">
            <v>DISJUNTOR MONOPOLAR TIPO DIN, CORRENTE NOMINAL DE 20A - FORNECIMENTO E INSTALAÇÃO. AF_07/2025</v>
          </cell>
          <cell r="S257" t="str">
            <v>UN</v>
          </cell>
          <cell r="T257">
            <v>26</v>
          </cell>
          <cell r="U257">
            <v>12.48</v>
          </cell>
          <cell r="W257">
            <v>15.44</v>
          </cell>
          <cell r="X257">
            <v>401.44</v>
          </cell>
        </row>
        <row r="258">
          <cell r="P258" t="str">
            <v>SINAPI</v>
          </cell>
          <cell r="Q258" t="str">
            <v>93657</v>
          </cell>
          <cell r="R258" t="str">
            <v>DISJUNTOR MONOPOLAR TIPO DIN, CORRENTE NOMINAL DE 32A - FORNECIMENTO E INSTALAÇÃO. AF_07/2025</v>
          </cell>
          <cell r="S258" t="str">
            <v>UN</v>
          </cell>
          <cell r="T258">
            <v>4</v>
          </cell>
          <cell r="U258">
            <v>15.14</v>
          </cell>
          <cell r="W258">
            <v>18.73</v>
          </cell>
          <cell r="X258">
            <v>74.92</v>
          </cell>
        </row>
        <row r="259">
          <cell r="P259" t="str">
            <v>SINAPI</v>
          </cell>
          <cell r="Q259" t="str">
            <v>93669</v>
          </cell>
          <cell r="R259" t="str">
            <v>DISJUNTOR TRIPOLAR TIPO DIN, CORRENTE NOMINAL DE 20A - FORNECIMENTO E INSTALAÇÃO. AF_07/2025</v>
          </cell>
          <cell r="S259" t="str">
            <v>UN</v>
          </cell>
          <cell r="T259">
            <v>4</v>
          </cell>
          <cell r="U259">
            <v>70.59</v>
          </cell>
          <cell r="W259">
            <v>87.33</v>
          </cell>
          <cell r="X259">
            <v>349.32</v>
          </cell>
        </row>
        <row r="260">
          <cell r="P260" t="str">
            <v>SINAPI</v>
          </cell>
          <cell r="Q260" t="str">
            <v>93673</v>
          </cell>
          <cell r="R260" t="str">
            <v>DISJUNTOR TRIPOLAR TIPO DIN, CORRENTE NOMINAL DE 50A - FORNECIMENTO E INSTALAÇÃO. AF_07/2025</v>
          </cell>
          <cell r="S260" t="str">
            <v>UN</v>
          </cell>
          <cell r="T260">
            <v>4</v>
          </cell>
          <cell r="U260">
            <v>95.47</v>
          </cell>
          <cell r="W260">
            <v>118.11</v>
          </cell>
          <cell r="X260">
            <v>472.44</v>
          </cell>
        </row>
        <row r="261">
          <cell r="P261" t="str">
            <v>SINAPI</v>
          </cell>
          <cell r="Q261" t="str">
            <v>101894</v>
          </cell>
          <cell r="R261" t="str">
            <v>DISJUNTOR TRIPOLAR TIPO NEMA, CORRENTE NOMINAL DE 60 ATÉ 100A - FORNECIMENTO E INSTALAÇÃO. AF_07/2025</v>
          </cell>
          <cell r="S261" t="str">
            <v>UN</v>
          </cell>
          <cell r="T261">
            <v>2</v>
          </cell>
          <cell r="U261">
            <v>152.61000000000001</v>
          </cell>
          <cell r="W261">
            <v>188.79</v>
          </cell>
          <cell r="X261">
            <v>377.58</v>
          </cell>
        </row>
        <row r="262">
          <cell r="P262" t="str">
            <v>SINAPI-I</v>
          </cell>
          <cell r="Q262" t="str">
            <v>2391</v>
          </cell>
          <cell r="R262" t="str">
            <v>DISJUNTOR TERMOMAGNETICO TRIPOLAR 125 A / 425 V / ICC - 25 KA</v>
          </cell>
          <cell r="S262" t="str">
            <v>UN</v>
          </cell>
          <cell r="T262">
            <v>1</v>
          </cell>
          <cell r="U262">
            <v>315.58999999999997</v>
          </cell>
          <cell r="W262">
            <v>390.42</v>
          </cell>
          <cell r="X262">
            <v>390.42</v>
          </cell>
        </row>
        <row r="263">
          <cell r="P263" t="str">
            <v>SINAPI-I</v>
          </cell>
          <cell r="Q263" t="str">
            <v>2374</v>
          </cell>
          <cell r="R263" t="str">
            <v>DISJUNTOR TERMOMAGNETICO TRIPOLAR 150 A / 600 V, TIPO FXD / ICC - 35 KA</v>
          </cell>
          <cell r="S263" t="str">
            <v>UN</v>
          </cell>
          <cell r="T263">
            <v>1</v>
          </cell>
          <cell r="U263">
            <v>358.03</v>
          </cell>
          <cell r="W263">
            <v>442.92</v>
          </cell>
          <cell r="X263">
            <v>442.92</v>
          </cell>
        </row>
        <row r="264">
          <cell r="P264" t="str">
            <v>SINAPI-I</v>
          </cell>
          <cell r="Q264" t="str">
            <v>39467</v>
          </cell>
          <cell r="R264" t="str">
            <v>DISPOSITIVO DPS CLASSE II, 1 POLO, TENSAO MAXIMA DE 175 V, CORRENTE MAXIMA DE *45* KA (TIPO AC)</v>
          </cell>
          <cell r="S264" t="str">
            <v>UN</v>
          </cell>
          <cell r="T264">
            <v>4</v>
          </cell>
          <cell r="U264">
            <v>88.71</v>
          </cell>
          <cell r="W264">
            <v>109.74</v>
          </cell>
          <cell r="X264">
            <v>438.96</v>
          </cell>
        </row>
        <row r="265">
          <cell r="P265" t="str">
            <v>SINAPI-I</v>
          </cell>
          <cell r="Q265" t="str">
            <v>39471</v>
          </cell>
          <cell r="R265" t="str">
            <v>DISPOSITIVO DPS CLASSE II, 1 POLO, TENSAO MAXIMA DE 275 V, CORRENTE MAXIMA DE *45* KA (TIPO AC)</v>
          </cell>
          <cell r="S265" t="str">
            <v>UN</v>
          </cell>
          <cell r="T265">
            <v>22</v>
          </cell>
          <cell r="U265">
            <v>94.84</v>
          </cell>
          <cell r="W265">
            <v>117.33</v>
          </cell>
          <cell r="X265">
            <v>2581.2600000000002</v>
          </cell>
        </row>
        <row r="266">
          <cell r="P266" t="str">
            <v>SINAPI-I</v>
          </cell>
          <cell r="Q266" t="str">
            <v>39472</v>
          </cell>
          <cell r="R266" t="str">
            <v>DISPOSITIVO DPS CLASSE II, 1 POLO, TENSAO MAXIMA DE 275 V, CORRENTE MAXIMA DE *90* KA (TIPO AC)</v>
          </cell>
          <cell r="S266" t="str">
            <v>UN</v>
          </cell>
          <cell r="T266">
            <v>4</v>
          </cell>
          <cell r="U266">
            <v>164.79</v>
          </cell>
          <cell r="W266">
            <v>203.86</v>
          </cell>
          <cell r="X266">
            <v>815.44</v>
          </cell>
        </row>
        <row r="267">
          <cell r="R267" t="str">
            <v>ELETRODUTOS E ACESSÓRIOS</v>
          </cell>
          <cell r="X267">
            <v>14095.2</v>
          </cell>
        </row>
        <row r="268">
          <cell r="P268" t="str">
            <v>SINAPI-I</v>
          </cell>
          <cell r="Q268">
            <v>14055</v>
          </cell>
          <cell r="R268" t="str">
            <v>CAIXA DE PASSAGEM/ LUZ / TELEFONIA, DE EMBUTIR, EM CHAPA DE ACO GALVANIZADO, DIMENSOES 120 X 120 X *12* CM (PADRAO CONCESSIONARIA LOCAL)</v>
          </cell>
          <cell r="S268" t="str">
            <v>UN</v>
          </cell>
          <cell r="T268">
            <v>16</v>
          </cell>
          <cell r="U268">
            <v>712.11</v>
          </cell>
          <cell r="W268">
            <v>880.95</v>
          </cell>
          <cell r="X268">
            <v>14095.2</v>
          </cell>
        </row>
        <row r="269">
          <cell r="R269" t="str">
            <v>CABOS E FIOS (CONDUTORES)</v>
          </cell>
          <cell r="X269">
            <v>52402.41</v>
          </cell>
        </row>
        <row r="270">
          <cell r="P270" t="str">
            <v>SINAPI</v>
          </cell>
          <cell r="Q270">
            <v>91926</v>
          </cell>
          <cell r="R270" t="str">
            <v>CABO DE COBRE FLEXÍVEL ISOLADO, 2,5 MM², ANTI-CHAMA 450/750 V, PARA CIRCUITOS TERMINAIS - FORNECIMENTO E INSTALAÇÃO. AF_03/2023</v>
          </cell>
          <cell r="S270" t="str">
            <v>M</v>
          </cell>
          <cell r="T270">
            <v>2800.3</v>
          </cell>
          <cell r="U270">
            <v>4.59</v>
          </cell>
          <cell r="W270">
            <v>5.68</v>
          </cell>
          <cell r="X270">
            <v>15905.7</v>
          </cell>
        </row>
        <row r="271">
          <cell r="P271" t="str">
            <v>SINAPI</v>
          </cell>
          <cell r="Q271">
            <v>91928</v>
          </cell>
          <cell r="R271" t="str">
            <v>CABO DE COBRE FLEXÍVEL ISOLADO, 4 MM², ANTI-CHAMA 450/750 V, PARA CIRCUITOS TERMINAIS - FORNECIMENTO E INSTALAÇÃO. AF_03/2023</v>
          </cell>
          <cell r="S271" t="str">
            <v>M</v>
          </cell>
          <cell r="T271">
            <v>955.3</v>
          </cell>
          <cell r="U271">
            <v>7.08</v>
          </cell>
          <cell r="W271">
            <v>8.76</v>
          </cell>
          <cell r="X271">
            <v>8368.43</v>
          </cell>
        </row>
        <row r="272">
          <cell r="P272" t="str">
            <v>SINAPI</v>
          </cell>
          <cell r="Q272">
            <v>91930</v>
          </cell>
          <cell r="R272" t="str">
            <v>CABO DE COBRE FLEXÍVEL ISOLADO, 6 MM², ANTI-CHAMA 450/750 V, PARA CIRCUITOS TERMINAIS - FORNECIMENTO E INSTALAÇÃO. AF_03/2023</v>
          </cell>
          <cell r="S272" t="str">
            <v>M</v>
          </cell>
          <cell r="T272">
            <v>214.2</v>
          </cell>
          <cell r="U272">
            <v>9.89</v>
          </cell>
          <cell r="W272">
            <v>12.23</v>
          </cell>
          <cell r="X272">
            <v>2619.67</v>
          </cell>
        </row>
        <row r="273">
          <cell r="P273" t="str">
            <v>SINAPI</v>
          </cell>
          <cell r="Q273">
            <v>91934</v>
          </cell>
          <cell r="R273" t="str">
            <v>CABO DE COBRE FLEXÍVEL ISOLADO, 16 MM², ANTI-CHAMA 450/750 V, PARA CIRCUITOS TERMINAIS - FORNECIMENTO E INSTALAÇÃO. AF_03/2023</v>
          </cell>
          <cell r="S273" t="str">
            <v>M</v>
          </cell>
          <cell r="T273">
            <v>140.6</v>
          </cell>
          <cell r="U273">
            <v>25.51</v>
          </cell>
          <cell r="W273">
            <v>31.56</v>
          </cell>
          <cell r="X273">
            <v>4437.34</v>
          </cell>
        </row>
        <row r="274">
          <cell r="P274" t="str">
            <v>SINAPI</v>
          </cell>
          <cell r="Q274" t="str">
            <v>92984</v>
          </cell>
          <cell r="R274" t="str">
            <v>CABO DE COBRE FLEXÍVEL ISOLADO, 25 MM², ANTI-CHAMA 0,6/1,0 KV, PARA REDE ENTERRADA DE DISTRIBUIÇÃO DE ENERGIA ELÉTRICA - FORNECIMENTO E INSTALAÇÃO. AF_12/2021</v>
          </cell>
          <cell r="S274" t="str">
            <v>M</v>
          </cell>
          <cell r="T274">
            <v>145.6</v>
          </cell>
          <cell r="U274">
            <v>28.99</v>
          </cell>
          <cell r="W274">
            <v>35.86</v>
          </cell>
          <cell r="X274">
            <v>5221.22</v>
          </cell>
        </row>
        <row r="275">
          <cell r="P275" t="str">
            <v>SINAPI</v>
          </cell>
          <cell r="Q275" t="str">
            <v>92986</v>
          </cell>
          <cell r="R275" t="str">
            <v>CABO DE COBRE FLEXÍVEL ISOLADO, 35 MM², ANTI-CHAMA 0,6/1,0 KV, PARA REDE ENTERRADA DE DISTRIBUIÇÃO DE ENERGIA ELÉTRICA - FORNECIMENTO E INSTALAÇÃO. AF_12/2021</v>
          </cell>
          <cell r="S275" t="str">
            <v>M</v>
          </cell>
          <cell r="T275">
            <v>35.5</v>
          </cell>
          <cell r="U275">
            <v>40.03</v>
          </cell>
          <cell r="W275">
            <v>49.52</v>
          </cell>
          <cell r="X275">
            <v>1757.96</v>
          </cell>
        </row>
        <row r="276">
          <cell r="P276" t="str">
            <v>SINAPI</v>
          </cell>
          <cell r="Q276" t="str">
            <v>92990</v>
          </cell>
          <cell r="R276" t="str">
            <v>CABO DE COBRE FLEXÍVEL ISOLADO, 70 MM², ANTI-CHAMA 0,6/1,0 KV, PARA REDE ENTERRADA DE DISTRIBUIÇÃO DE ENERGIA ELÉTRICA - FORNECIMENTO E INSTALAÇÃO. AF_12/2021</v>
          </cell>
          <cell r="S276" t="str">
            <v>M</v>
          </cell>
          <cell r="T276">
            <v>141.9</v>
          </cell>
          <cell r="U276">
            <v>80.28</v>
          </cell>
          <cell r="W276">
            <v>99.31</v>
          </cell>
          <cell r="X276">
            <v>14092.09</v>
          </cell>
        </row>
        <row r="277">
          <cell r="R277" t="str">
            <v>ELETROCALHAS</v>
          </cell>
          <cell r="X277">
            <v>8046.48</v>
          </cell>
        </row>
        <row r="278">
          <cell r="P278" t="str">
            <v>Cotação</v>
          </cell>
          <cell r="Q278" t="str">
            <v>02</v>
          </cell>
          <cell r="R278" t="str">
            <v>ELETROCALHA 50X50mm</v>
          </cell>
          <cell r="S278" t="str">
            <v>M</v>
          </cell>
          <cell r="T278">
            <v>36.299999999999997</v>
          </cell>
          <cell r="U278">
            <v>19.23</v>
          </cell>
          <cell r="W278">
            <v>23.79</v>
          </cell>
          <cell r="X278">
            <v>863.58</v>
          </cell>
        </row>
        <row r="279">
          <cell r="P279" t="str">
            <v>Cotação</v>
          </cell>
          <cell r="Q279" t="str">
            <v>03</v>
          </cell>
          <cell r="R279" t="str">
            <v>ELETROCALHA 100X50mm</v>
          </cell>
          <cell r="S279" t="str">
            <v>M</v>
          </cell>
          <cell r="T279">
            <v>58</v>
          </cell>
          <cell r="U279">
            <v>45.33</v>
          </cell>
          <cell r="W279">
            <v>56.08</v>
          </cell>
          <cell r="X279">
            <v>3252.64</v>
          </cell>
        </row>
        <row r="280">
          <cell r="P280" t="str">
            <v>Cotação</v>
          </cell>
          <cell r="Q280" t="str">
            <v>04</v>
          </cell>
          <cell r="R280" t="str">
            <v>ELETROCALHA 100X100mm</v>
          </cell>
          <cell r="S280" t="str">
            <v>M</v>
          </cell>
          <cell r="T280">
            <v>0.6</v>
          </cell>
          <cell r="U280">
            <v>61.02</v>
          </cell>
          <cell r="W280">
            <v>75.489999999999995</v>
          </cell>
          <cell r="X280">
            <v>45.29</v>
          </cell>
        </row>
        <row r="281">
          <cell r="P281" t="str">
            <v>Composição</v>
          </cell>
          <cell r="Q281" t="str">
            <v>044</v>
          </cell>
          <cell r="R281" t="str">
            <v>SUPORTE VERTICAL ELETROCALHA 70X81MM</v>
          </cell>
          <cell r="S281" t="str">
            <v xml:space="preserve">UN    </v>
          </cell>
          <cell r="T281">
            <v>21</v>
          </cell>
          <cell r="U281">
            <v>44.28</v>
          </cell>
          <cell r="W281">
            <v>54.78</v>
          </cell>
          <cell r="X281">
            <v>1150.3800000000001</v>
          </cell>
        </row>
        <row r="282">
          <cell r="P282" t="str">
            <v>Composição</v>
          </cell>
          <cell r="Q282" t="str">
            <v>045</v>
          </cell>
          <cell r="R282" t="str">
            <v>SUPORTE VERTICAL ELETROCALHA 70X96MM</v>
          </cell>
          <cell r="S282" t="str">
            <v xml:space="preserve">UN    </v>
          </cell>
          <cell r="T282">
            <v>33</v>
          </cell>
          <cell r="U282">
            <v>58.87</v>
          </cell>
          <cell r="W282">
            <v>72.83</v>
          </cell>
          <cell r="X282">
            <v>2403.39</v>
          </cell>
        </row>
        <row r="283">
          <cell r="P283" t="str">
            <v>Composição</v>
          </cell>
          <cell r="Q283" t="str">
            <v>046</v>
          </cell>
          <cell r="R283" t="str">
            <v>TALA PLANA PERFURADA 50MM</v>
          </cell>
          <cell r="S283" t="str">
            <v xml:space="preserve">UN    </v>
          </cell>
          <cell r="T283">
            <v>40</v>
          </cell>
          <cell r="U283">
            <v>6.69</v>
          </cell>
          <cell r="W283">
            <v>8.2799999999999994</v>
          </cell>
          <cell r="X283">
            <v>331.2</v>
          </cell>
        </row>
        <row r="284">
          <cell r="R284" t="str">
            <v>ILUMINAÇÃO E TOMADAS</v>
          </cell>
          <cell r="X284">
            <v>6692.94</v>
          </cell>
        </row>
        <row r="285">
          <cell r="P285" t="str">
            <v>SINAPI</v>
          </cell>
          <cell r="Q285">
            <v>91994</v>
          </cell>
          <cell r="R285" t="str">
            <v>TOMADA MÉDIA DE EMBUTIR (1 MÓDULO), 2P+T 10 A, SEM SUPORTE E SEM PLACA - FORNECIMENTO E INSTALAÇÃO. AF_03/2023</v>
          </cell>
          <cell r="S285" t="str">
            <v>UN</v>
          </cell>
          <cell r="T285">
            <v>49</v>
          </cell>
          <cell r="U285">
            <v>27.72</v>
          </cell>
          <cell r="W285">
            <v>34.29</v>
          </cell>
          <cell r="X285">
            <v>1680.21</v>
          </cell>
        </row>
        <row r="286">
          <cell r="P286" t="str">
            <v>SINAPI</v>
          </cell>
          <cell r="Q286">
            <v>91995</v>
          </cell>
          <cell r="R286" t="str">
            <v>TOMADA MÉDIA DE EMBUTIR (1 MÓDULO), 2P+T 20 A, SEM SUPORTE E SEM PLACA - FORNECIMENTO E INSTALAÇÃO. AF_03/2023</v>
          </cell>
          <cell r="S286" t="str">
            <v>UN</v>
          </cell>
          <cell r="T286">
            <v>11</v>
          </cell>
          <cell r="U286">
            <v>30.37</v>
          </cell>
          <cell r="W286">
            <v>37.57</v>
          </cell>
          <cell r="X286">
            <v>413.27</v>
          </cell>
        </row>
        <row r="287">
          <cell r="P287" t="str">
            <v>SINAPI</v>
          </cell>
          <cell r="Q287">
            <v>91953</v>
          </cell>
          <cell r="R287" t="str">
            <v>INTERRUPTOR SIMPLES (1 MÓDULO), 10A/250V, INCLUINDO SUPORTE E PLACA - FORNECIMENTO E INSTALAÇÃO. AF_03/2023</v>
          </cell>
          <cell r="S287" t="str">
            <v>UN</v>
          </cell>
          <cell r="T287">
            <v>1</v>
          </cell>
          <cell r="U287">
            <v>34.4</v>
          </cell>
          <cell r="W287">
            <v>42.56</v>
          </cell>
          <cell r="X287">
            <v>42.56</v>
          </cell>
        </row>
        <row r="288">
          <cell r="P288" t="str">
            <v>SINAPI</v>
          </cell>
          <cell r="Q288">
            <v>92022</v>
          </cell>
          <cell r="R288" t="str">
            <v>INTERRUPTOR SIMPLES (1 MÓDULO) COM 1 TOMADA DE EMBUTIR 2P+T 10 A, SEM SUPORTE E SEM PLACA - FORNECIMENTO E INSTALAÇÃO. AF_03/2023</v>
          </cell>
          <cell r="S288" t="str">
            <v>UN</v>
          </cell>
          <cell r="T288">
            <v>39</v>
          </cell>
          <cell r="U288">
            <v>45.78</v>
          </cell>
          <cell r="W288">
            <v>56.63</v>
          </cell>
          <cell r="X288">
            <v>2208.5700000000002</v>
          </cell>
        </row>
        <row r="289">
          <cell r="P289" t="str">
            <v>SINAPI-I</v>
          </cell>
          <cell r="Q289">
            <v>39385</v>
          </cell>
          <cell r="R289" t="str">
            <v>LUMINARIA LED PLAFON REDONDO DE SOBREPOR BIVOLT 12/13 W, D = *17* CM</v>
          </cell>
          <cell r="S289" t="str">
            <v>UN</v>
          </cell>
          <cell r="T289">
            <v>8</v>
          </cell>
          <cell r="U289">
            <v>9.65</v>
          </cell>
          <cell r="W289">
            <v>11.94</v>
          </cell>
          <cell r="X289">
            <v>95.52</v>
          </cell>
        </row>
        <row r="290">
          <cell r="P290" t="str">
            <v>SINAPI-I</v>
          </cell>
          <cell r="Q290">
            <v>39385</v>
          </cell>
          <cell r="R290" t="str">
            <v>LUMINARIA LED PLAFON REDONDO DE SOBREPOR BIVOLT 12/13 W, D = *17* CM</v>
          </cell>
          <cell r="S290" t="str">
            <v>UN</v>
          </cell>
          <cell r="T290">
            <v>11</v>
          </cell>
          <cell r="U290">
            <v>9.65</v>
          </cell>
          <cell r="W290">
            <v>11.94</v>
          </cell>
          <cell r="X290">
            <v>131.34</v>
          </cell>
        </row>
        <row r="291">
          <cell r="P291" t="str">
            <v>SINAPI-I</v>
          </cell>
          <cell r="Q291">
            <v>39385</v>
          </cell>
          <cell r="R291" t="str">
            <v>LUMINARIA LED PLAFON REDONDO DE SOBREPOR BIVOLT 12/13 W, D = *17* CM</v>
          </cell>
          <cell r="S291" t="str">
            <v>UN</v>
          </cell>
          <cell r="T291">
            <v>64</v>
          </cell>
          <cell r="U291">
            <v>9.65</v>
          </cell>
          <cell r="W291">
            <v>11.94</v>
          </cell>
          <cell r="X291">
            <v>764.16</v>
          </cell>
        </row>
        <row r="292">
          <cell r="P292" t="str">
            <v>SINAPI-I</v>
          </cell>
          <cell r="Q292">
            <v>39385</v>
          </cell>
          <cell r="R292" t="str">
            <v>LUMINARIA LED PLAFON REDONDO DE SOBREPOR BIVOLT 12/13 W, D = *17* CM</v>
          </cell>
          <cell r="S292" t="str">
            <v>UN</v>
          </cell>
          <cell r="T292">
            <v>26</v>
          </cell>
          <cell r="U292">
            <v>9.65</v>
          </cell>
          <cell r="W292">
            <v>11.94</v>
          </cell>
          <cell r="X292">
            <v>310.44</v>
          </cell>
        </row>
        <row r="293">
          <cell r="P293" t="str">
            <v>SINAPI-I</v>
          </cell>
          <cell r="Q293">
            <v>39389</v>
          </cell>
          <cell r="R293" t="str">
            <v>LUMINARIA LED REFLETOR RETANGULAR BIVOLT, LUZ BRANCA, 10 W</v>
          </cell>
          <cell r="S293" t="str">
            <v>UN</v>
          </cell>
          <cell r="T293">
            <v>9</v>
          </cell>
          <cell r="U293">
            <v>10.47</v>
          </cell>
          <cell r="W293">
            <v>12.95</v>
          </cell>
          <cell r="X293">
            <v>116.55</v>
          </cell>
        </row>
        <row r="294">
          <cell r="P294" t="str">
            <v>SINAPI-I</v>
          </cell>
          <cell r="Q294">
            <v>39391</v>
          </cell>
          <cell r="R294" t="str">
            <v>LUMINARIA LED REFLETOR RETANGULAR BIVOLT, LUZ BRANCA, 50 W</v>
          </cell>
          <cell r="S294" t="str">
            <v>UN</v>
          </cell>
          <cell r="T294">
            <v>5</v>
          </cell>
          <cell r="U294">
            <v>24.64</v>
          </cell>
          <cell r="W294">
            <v>30.48</v>
          </cell>
          <cell r="X294">
            <v>152.4</v>
          </cell>
        </row>
        <row r="295">
          <cell r="P295" t="str">
            <v>SINAPI</v>
          </cell>
          <cell r="Q295">
            <v>97605</v>
          </cell>
          <cell r="R295" t="str">
            <v>LUMINÁRIA ARANDELA TIPO MEIA LUA, DE SOBREPOR, COM 1 LÂMPADA LED DE 6 W, SEM REATOR - FORNECIMENTO E INSTALAÇÃO. AF_09/2024</v>
          </cell>
          <cell r="S295" t="str">
            <v>UN</v>
          </cell>
          <cell r="T295">
            <v>8</v>
          </cell>
          <cell r="U295">
            <v>78.599999999999994</v>
          </cell>
          <cell r="W295">
            <v>97.24</v>
          </cell>
          <cell r="X295">
            <v>777.92</v>
          </cell>
        </row>
        <row r="296">
          <cell r="R296" t="str">
            <v>INSTALAÇÕES DE CLIMATIZAÇÃO</v>
          </cell>
          <cell r="X296">
            <v>2578.4699999999998</v>
          </cell>
        </row>
        <row r="297">
          <cell r="P297" t="str">
            <v>SINAPI</v>
          </cell>
          <cell r="Q297">
            <v>89446</v>
          </cell>
          <cell r="R297" t="str">
            <v>TUBO, PVC, SOLDÁVEL, DE 25MM, INSTALADO EM PRUMADA DE ÁGUA - FORNECIMENTO E INSTALAÇÃO. AF_06/2022</v>
          </cell>
          <cell r="S297" t="str">
            <v>M</v>
          </cell>
          <cell r="T297">
            <v>95</v>
          </cell>
          <cell r="U297">
            <v>6.27</v>
          </cell>
          <cell r="W297">
            <v>7.76</v>
          </cell>
          <cell r="X297">
            <v>737.2</v>
          </cell>
        </row>
        <row r="298">
          <cell r="P298" t="str">
            <v>SINAPI</v>
          </cell>
          <cell r="Q298">
            <v>89485</v>
          </cell>
          <cell r="R298" t="str">
            <v>JOELHO 45 GRAUS, PVC, SOLDÁVEL, DN 25MM, INSTALADO EM PRUMADA DE ÁGUA - FORNECIMENTO E INSTALAÇÃO. AF_06/2022</v>
          </cell>
          <cell r="S298" t="str">
            <v>UN</v>
          </cell>
          <cell r="T298">
            <v>18</v>
          </cell>
          <cell r="U298">
            <v>7.02</v>
          </cell>
          <cell r="W298">
            <v>8.68</v>
          </cell>
          <cell r="X298">
            <v>156.24</v>
          </cell>
        </row>
        <row r="299">
          <cell r="P299" t="str">
            <v>SINAPI</v>
          </cell>
          <cell r="Q299">
            <v>89866</v>
          </cell>
          <cell r="R299" t="str">
            <v>JOELHO 90 GRAUS, PVC, SOLDÁVEL, DN 25MM, INSTALADO EM DRENO DE AR-CONDICIONADO - FORNECIMENTO E INSTALAÇÃO. AF_08/2022</v>
          </cell>
          <cell r="S299" t="str">
            <v>UN</v>
          </cell>
          <cell r="T299">
            <v>22</v>
          </cell>
          <cell r="U299">
            <v>8.24</v>
          </cell>
          <cell r="W299">
            <v>10.19</v>
          </cell>
          <cell r="X299">
            <v>224.18</v>
          </cell>
        </row>
        <row r="300">
          <cell r="P300" t="str">
            <v>SINAPI-I</v>
          </cell>
          <cell r="Q300">
            <v>43435</v>
          </cell>
          <cell r="R300" t="str">
            <v>CAIXA DE CONCRETO ARMADO PRE-MOLDADO, COM FUNDO E SEM TAMPA, DIMENSOES DE 0,40 X 0,40 X 0,40 M</v>
          </cell>
          <cell r="S300" t="str">
            <v>UN</v>
          </cell>
          <cell r="T300">
            <v>5</v>
          </cell>
          <cell r="U300">
            <v>236.17</v>
          </cell>
          <cell r="W300">
            <v>292.17</v>
          </cell>
          <cell r="X300">
            <v>1460.85</v>
          </cell>
        </row>
        <row r="301">
          <cell r="R301" t="str">
            <v>INSTALAÇÕES DE REDE ESTRUTURADA</v>
          </cell>
          <cell r="X301">
            <v>47209.13</v>
          </cell>
        </row>
        <row r="302">
          <cell r="R302" t="str">
            <v>EQUIPAMENTOS PASSIVOS</v>
          </cell>
          <cell r="X302">
            <v>8898.0400000000009</v>
          </cell>
        </row>
        <row r="303">
          <cell r="P303" t="str">
            <v>SINAPI</v>
          </cell>
          <cell r="Q303" t="str">
            <v>98301</v>
          </cell>
          <cell r="R303" t="str">
            <v>PATCH PANEL 24 PORTAS, CATEGORIA 5E - FORNECIMENTO E INSTALAÇÃO. AF_08/2025</v>
          </cell>
          <cell r="S303" t="str">
            <v>UN</v>
          </cell>
          <cell r="T303">
            <v>2</v>
          </cell>
          <cell r="U303">
            <v>634.19000000000005</v>
          </cell>
          <cell r="W303">
            <v>784.56</v>
          </cell>
          <cell r="X303">
            <v>1569.12</v>
          </cell>
        </row>
        <row r="304">
          <cell r="P304" t="str">
            <v>Cotação</v>
          </cell>
          <cell r="Q304" t="str">
            <v>05</v>
          </cell>
          <cell r="R304" t="str">
            <v>SWITCH DE 48 PORTAS</v>
          </cell>
          <cell r="S304" t="str">
            <v>UN</v>
          </cell>
          <cell r="T304">
            <v>1</v>
          </cell>
          <cell r="U304">
            <v>4043</v>
          </cell>
          <cell r="W304">
            <v>5001.6000000000004</v>
          </cell>
          <cell r="X304">
            <v>5001.6000000000004</v>
          </cell>
        </row>
        <row r="305">
          <cell r="P305" t="str">
            <v>Cotação</v>
          </cell>
          <cell r="Q305" t="str">
            <v>06</v>
          </cell>
          <cell r="R305" t="str">
            <v>GUIA DE CABOS</v>
          </cell>
          <cell r="S305" t="str">
            <v>UN</v>
          </cell>
          <cell r="T305">
            <v>2</v>
          </cell>
          <cell r="U305">
            <v>81.78</v>
          </cell>
          <cell r="W305">
            <v>101.17</v>
          </cell>
          <cell r="X305">
            <v>202.34</v>
          </cell>
        </row>
        <row r="306">
          <cell r="P306" t="str">
            <v>Cotação</v>
          </cell>
          <cell r="Q306" t="str">
            <v>06</v>
          </cell>
          <cell r="R306" t="str">
            <v>GUIA DE CABOS</v>
          </cell>
          <cell r="S306" t="str">
            <v>UN</v>
          </cell>
          <cell r="T306">
            <v>1</v>
          </cell>
          <cell r="U306">
            <v>81.78</v>
          </cell>
          <cell r="W306">
            <v>101.17</v>
          </cell>
          <cell r="X306">
            <v>101.17</v>
          </cell>
        </row>
        <row r="307">
          <cell r="P307" t="str">
            <v>Cotação</v>
          </cell>
          <cell r="Q307" t="str">
            <v>06</v>
          </cell>
          <cell r="R307" t="str">
            <v>GUIA DE CABOS</v>
          </cell>
          <cell r="S307" t="str">
            <v>UN</v>
          </cell>
          <cell r="T307">
            <v>2</v>
          </cell>
          <cell r="U307">
            <v>81.78</v>
          </cell>
          <cell r="W307">
            <v>101.17</v>
          </cell>
          <cell r="X307">
            <v>202.34</v>
          </cell>
        </row>
        <row r="308">
          <cell r="P308" t="str">
            <v>Cotação</v>
          </cell>
          <cell r="Q308" t="str">
            <v>06</v>
          </cell>
          <cell r="R308" t="str">
            <v>GUIA DE CABOS</v>
          </cell>
          <cell r="S308" t="str">
            <v>UN</v>
          </cell>
          <cell r="T308">
            <v>1</v>
          </cell>
          <cell r="U308">
            <v>81.78</v>
          </cell>
          <cell r="W308">
            <v>101.17</v>
          </cell>
          <cell r="X308">
            <v>101.17</v>
          </cell>
        </row>
        <row r="309">
          <cell r="P309" t="str">
            <v>Cotação</v>
          </cell>
          <cell r="Q309" t="str">
            <v>07</v>
          </cell>
          <cell r="R309" t="str">
            <v>PERFIL DE MONTAGEM</v>
          </cell>
          <cell r="S309" t="str">
            <v>UN</v>
          </cell>
          <cell r="T309">
            <v>1</v>
          </cell>
          <cell r="U309">
            <v>237.72</v>
          </cell>
          <cell r="W309">
            <v>294.08</v>
          </cell>
          <cell r="X309">
            <v>294.08</v>
          </cell>
        </row>
        <row r="310">
          <cell r="P310" t="str">
            <v>Cotação</v>
          </cell>
          <cell r="Q310" t="str">
            <v>08</v>
          </cell>
          <cell r="R310" t="str">
            <v>ORGANIZADOR DE CABOS</v>
          </cell>
          <cell r="S310" t="str">
            <v>UN</v>
          </cell>
          <cell r="T310">
            <v>2</v>
          </cell>
          <cell r="U310">
            <v>27.13</v>
          </cell>
          <cell r="W310">
            <v>33.56</v>
          </cell>
          <cell r="X310">
            <v>67.12</v>
          </cell>
        </row>
        <row r="311">
          <cell r="P311" t="str">
            <v>Cotação</v>
          </cell>
          <cell r="Q311" t="str">
            <v>09</v>
          </cell>
          <cell r="R311" t="str">
            <v>BANDEJA DESLIZANTE PERFURADA</v>
          </cell>
          <cell r="S311" t="str">
            <v>UN</v>
          </cell>
          <cell r="T311">
            <v>2</v>
          </cell>
          <cell r="U311">
            <v>74.23</v>
          </cell>
          <cell r="W311">
            <v>91.83</v>
          </cell>
          <cell r="X311">
            <v>183.66</v>
          </cell>
        </row>
        <row r="312">
          <cell r="P312" t="str">
            <v>Cotação</v>
          </cell>
          <cell r="Q312" t="str">
            <v>10</v>
          </cell>
          <cell r="R312" t="str">
            <v>MINI RACK</v>
          </cell>
          <cell r="S312" t="str">
            <v>UN</v>
          </cell>
          <cell r="T312">
            <v>1</v>
          </cell>
          <cell r="U312">
            <v>530.16</v>
          </cell>
          <cell r="W312">
            <v>655.86</v>
          </cell>
          <cell r="X312">
            <v>655.86</v>
          </cell>
        </row>
        <row r="313">
          <cell r="P313" t="str">
            <v>Cotação</v>
          </cell>
          <cell r="Q313" t="str">
            <v>11</v>
          </cell>
          <cell r="R313" t="str">
            <v>ACESS POINT WIRELESS 2.4GHZ 300MPBS</v>
          </cell>
          <cell r="S313" t="str">
            <v>UN</v>
          </cell>
          <cell r="T313">
            <v>1</v>
          </cell>
          <cell r="U313">
            <v>420</v>
          </cell>
          <cell r="W313">
            <v>519.58000000000004</v>
          </cell>
          <cell r="X313">
            <v>519.58000000000004</v>
          </cell>
        </row>
        <row r="314">
          <cell r="R314" t="str">
            <v>CABOS EM PAR TRANÇADOS</v>
          </cell>
          <cell r="X314">
            <v>18097.400000000001</v>
          </cell>
        </row>
        <row r="315">
          <cell r="P315" t="str">
            <v>SINAPI</v>
          </cell>
          <cell r="Q315" t="str">
            <v>98294</v>
          </cell>
          <cell r="R315" t="str">
            <v>CABO ELETRÔNICO CATEGORIA 5E, INSTALADO EM EDIFICAÇÃO RESIDENCIAL - FORNECIMENTO E INSTALAÇÃO. AF_08/2025</v>
          </cell>
          <cell r="S315" t="str">
            <v>M</v>
          </cell>
          <cell r="T315">
            <v>980.3</v>
          </cell>
          <cell r="U315">
            <v>8.4700000000000006</v>
          </cell>
          <cell r="W315">
            <v>10.48</v>
          </cell>
          <cell r="X315">
            <v>10273.540000000001</v>
          </cell>
        </row>
        <row r="316">
          <cell r="P316" t="str">
            <v>SINAPI</v>
          </cell>
          <cell r="Q316" t="str">
            <v>100553</v>
          </cell>
          <cell r="R316" t="str">
            <v>CABO COAXIAL RG11 95% - FORNECIMENTO E INSTALAÇÃO. AF_08/2025</v>
          </cell>
          <cell r="S316" t="str">
            <v>M</v>
          </cell>
          <cell r="T316">
            <v>242</v>
          </cell>
          <cell r="U316">
            <v>26.13</v>
          </cell>
          <cell r="W316">
            <v>32.33</v>
          </cell>
          <cell r="X316">
            <v>7823.86</v>
          </cell>
        </row>
        <row r="317">
          <cell r="R317" t="str">
            <v>CABOS DE CONEXÃO</v>
          </cell>
          <cell r="X317">
            <v>334.97</v>
          </cell>
        </row>
        <row r="318">
          <cell r="P318" t="str">
            <v>SINAPI-I</v>
          </cell>
          <cell r="Q318">
            <v>39605</v>
          </cell>
          <cell r="R318" t="str">
            <v>PATCH CORD (CABO DE REDE), CATEGORIA 5 E (CAT 5E) UTP, 24 AWG, 4 PARES, EXTENSAO DE 2,50 M</v>
          </cell>
          <cell r="S318" t="str">
            <v>UN</v>
          </cell>
          <cell r="T318">
            <v>19</v>
          </cell>
          <cell r="U318">
            <v>14.25</v>
          </cell>
          <cell r="W318">
            <v>17.63</v>
          </cell>
          <cell r="X318">
            <v>334.97</v>
          </cell>
        </row>
        <row r="319">
          <cell r="R319" t="str">
            <v>TOMADAS</v>
          </cell>
          <cell r="X319">
            <v>12944.47</v>
          </cell>
        </row>
        <row r="320">
          <cell r="P320" t="str">
            <v>SINAPI</v>
          </cell>
          <cell r="Q320" t="str">
            <v>98307</v>
          </cell>
          <cell r="R320" t="str">
            <v>TOMADA DE REDE RJ45 - FORNECIMENTO E INSTALAÇÃO. AF_08/2025</v>
          </cell>
          <cell r="S320" t="str">
            <v>UN</v>
          </cell>
          <cell r="T320">
            <v>19</v>
          </cell>
          <cell r="U320">
            <v>65.36</v>
          </cell>
          <cell r="W320">
            <v>80.86</v>
          </cell>
          <cell r="X320">
            <v>1536.34</v>
          </cell>
        </row>
        <row r="321">
          <cell r="P321" t="str">
            <v>SINAPI-I</v>
          </cell>
          <cell r="Q321" t="str">
            <v>38084</v>
          </cell>
          <cell r="R321" t="str">
            <v>TOMADA PARA ANTENA DE TV, CABO COAXIAL DE 9 MM, CONJUNTO MONTADO PARA EMBUTIR 4" X 2" (PLACA + SUPORTE + MODULO)</v>
          </cell>
          <cell r="S321" t="str">
            <v>UN</v>
          </cell>
          <cell r="T321">
            <v>8</v>
          </cell>
          <cell r="U321">
            <v>18.86</v>
          </cell>
          <cell r="W321">
            <v>23.33</v>
          </cell>
          <cell r="X321">
            <v>186.64</v>
          </cell>
        </row>
        <row r="322">
          <cell r="P322" t="str">
            <v>Cotação</v>
          </cell>
          <cell r="Q322" t="str">
            <v>12</v>
          </cell>
          <cell r="R322" t="str">
            <v>CENTRAL PABX 24 PORTAS</v>
          </cell>
          <cell r="S322" t="str">
            <v xml:space="preserve">UN    </v>
          </cell>
          <cell r="T322">
            <v>1</v>
          </cell>
          <cell r="U322">
            <v>9070.7999999999993</v>
          </cell>
          <cell r="W322">
            <v>11221.49</v>
          </cell>
          <cell r="X322">
            <v>11221.49</v>
          </cell>
        </row>
        <row r="323">
          <cell r="R323" t="str">
            <v>CAIXAS E ACESSÓRIOS</v>
          </cell>
          <cell r="X323">
            <v>231.74</v>
          </cell>
        </row>
        <row r="324">
          <cell r="P324" t="str">
            <v>SINAPI</v>
          </cell>
          <cell r="Q324" t="str">
            <v>100556</v>
          </cell>
          <cell r="R324" t="str">
            <v>CAIXA DE PASSAGEM PARA TELEFONE 15X15X10CM (SOBREPOR) - FORNECIMENTO E INSTALAÇÃO. AF_08/2025</v>
          </cell>
          <cell r="S324" t="str">
            <v>UN</v>
          </cell>
          <cell r="T324">
            <v>2</v>
          </cell>
          <cell r="U324">
            <v>35</v>
          </cell>
          <cell r="W324">
            <v>43.3</v>
          </cell>
          <cell r="X324">
            <v>86.6</v>
          </cell>
        </row>
        <row r="325">
          <cell r="P325" t="str">
            <v>SINAPI-I</v>
          </cell>
          <cell r="Q325" t="str">
            <v>1872</v>
          </cell>
          <cell r="R325" t="str">
            <v>CAIXA DE PASSAGEM, EM PVC, DE 4" X 2", PARA ELETRODUTO FLEXIVEL CORRUGADO</v>
          </cell>
          <cell r="S325" t="str">
            <v>UN</v>
          </cell>
          <cell r="T325">
            <v>41</v>
          </cell>
          <cell r="U325">
            <v>2.86</v>
          </cell>
          <cell r="W325">
            <v>3.54</v>
          </cell>
          <cell r="X325">
            <v>145.13999999999999</v>
          </cell>
        </row>
        <row r="326">
          <cell r="R326" t="str">
            <v>ELETRODUTOS E ACESSÓRIOS</v>
          </cell>
          <cell r="X326">
            <v>6702.51</v>
          </cell>
        </row>
        <row r="327">
          <cell r="P327" t="str">
            <v>SINAPI</v>
          </cell>
          <cell r="Q327" t="str">
            <v>91836</v>
          </cell>
          <cell r="R327" t="str">
            <v>ELETRODUTO FLEXÍVEL CORRUGADO, PVC, DN 32 MM (1"), PARA CIRCUITOS TERMINAIS, INSTALADO EM FORRO - FORNECIMENTO E INSTALAÇÃO. AF_03/2023</v>
          </cell>
          <cell r="S327" t="str">
            <v>M</v>
          </cell>
          <cell r="T327">
            <v>1.3</v>
          </cell>
          <cell r="U327">
            <v>24.2</v>
          </cell>
          <cell r="W327">
            <v>29.94</v>
          </cell>
          <cell r="X327">
            <v>38.92</v>
          </cell>
        </row>
        <row r="328">
          <cell r="P328" t="str">
            <v>SINAPI</v>
          </cell>
          <cell r="Q328" t="str">
            <v>91834</v>
          </cell>
          <cell r="R328" t="str">
            <v>ELETRODUTO FLEXÍVEL CORRUGADO, PVC, DN 25 MM (3/4"), PARA CIRCUITOS TERMINAIS, INSTALADO EM FORRO - FORNECIMENTO E INSTALAÇÃO. AF_03/2023</v>
          </cell>
          <cell r="S328" t="str">
            <v>M</v>
          </cell>
          <cell r="T328">
            <v>219.8</v>
          </cell>
          <cell r="U328">
            <v>20.65</v>
          </cell>
          <cell r="W328">
            <v>25.55</v>
          </cell>
          <cell r="X328">
            <v>5615.89</v>
          </cell>
        </row>
        <row r="329">
          <cell r="P329" t="str">
            <v>SINAPI-I</v>
          </cell>
          <cell r="Q329">
            <v>2680</v>
          </cell>
          <cell r="R329" t="str">
            <v>ELETRODUTO DE PVC RIGIDO ROSCAVEL DE 1 1/2", SEM LUVA</v>
          </cell>
          <cell r="S329" t="str">
            <v>M</v>
          </cell>
          <cell r="T329">
            <v>4</v>
          </cell>
          <cell r="U329">
            <v>15.26</v>
          </cell>
          <cell r="W329">
            <v>18.88</v>
          </cell>
          <cell r="X329">
            <v>75.52</v>
          </cell>
        </row>
        <row r="330">
          <cell r="P330" t="str">
            <v>SINAPI-I</v>
          </cell>
          <cell r="Q330">
            <v>39028</v>
          </cell>
          <cell r="R330" t="str">
            <v>PERFILADO PERFURADO SIMPLES 38 X 38 MM, CHAPA 22</v>
          </cell>
          <cell r="S330" t="str">
            <v>M</v>
          </cell>
          <cell r="T330">
            <v>90.1</v>
          </cell>
          <cell r="U330">
            <v>8.7200000000000006</v>
          </cell>
          <cell r="W330">
            <v>10.79</v>
          </cell>
          <cell r="X330">
            <v>972.18</v>
          </cell>
        </row>
        <row r="331">
          <cell r="R331" t="str">
            <v>SISTEMA DE EXAUSTÃO MECÂNICA</v>
          </cell>
          <cell r="X331">
            <v>17422.23</v>
          </cell>
        </row>
        <row r="332">
          <cell r="P332" t="str">
            <v>Cotação</v>
          </cell>
          <cell r="Q332" t="str">
            <v>13</v>
          </cell>
          <cell r="R332" t="str">
            <v>COIFA DE CENTRO EM AÇO INOX</v>
          </cell>
          <cell r="S332" t="str">
            <v>-</v>
          </cell>
          <cell r="T332">
            <v>1</v>
          </cell>
          <cell r="U332">
            <v>8902.26</v>
          </cell>
          <cell r="W332">
            <v>11012.99</v>
          </cell>
          <cell r="X332">
            <v>11012.99</v>
          </cell>
        </row>
        <row r="333">
          <cell r="P333" t="str">
            <v>Cotação</v>
          </cell>
          <cell r="Q333" t="str">
            <v>14</v>
          </cell>
          <cell r="R333" t="str">
            <v>DUTO DE LIGAÇÃO 1000 X 0.80MM</v>
          </cell>
          <cell r="S333" t="str">
            <v>-</v>
          </cell>
          <cell r="T333">
            <v>5</v>
          </cell>
          <cell r="U333">
            <v>210.87</v>
          </cell>
          <cell r="W333">
            <v>260.87</v>
          </cell>
          <cell r="X333">
            <v>1304.3499999999999</v>
          </cell>
        </row>
        <row r="334">
          <cell r="P334" t="str">
            <v>Cotação</v>
          </cell>
          <cell r="Q334" t="str">
            <v>15</v>
          </cell>
          <cell r="R334" t="str">
            <v>CHAPÉU CHINÊS DE ALUMÍNIO</v>
          </cell>
          <cell r="S334" t="str">
            <v>-</v>
          </cell>
          <cell r="T334">
            <v>1</v>
          </cell>
          <cell r="U334">
            <v>3822.2</v>
          </cell>
          <cell r="W334">
            <v>4728.4399999999996</v>
          </cell>
          <cell r="X334">
            <v>4728.4399999999996</v>
          </cell>
        </row>
        <row r="335">
          <cell r="P335" t="str">
            <v>Cotação</v>
          </cell>
          <cell r="Q335" t="str">
            <v>16</v>
          </cell>
          <cell r="R335" t="str">
            <v>EXAUSTOR MECÂNICO PARA BANHEIRO 80M3/H COM DUTO FLEXÍVEL - KIT</v>
          </cell>
          <cell r="S335" t="str">
            <v>-</v>
          </cell>
          <cell r="T335">
            <v>1</v>
          </cell>
          <cell r="U335">
            <v>304.3</v>
          </cell>
          <cell r="W335">
            <v>376.45</v>
          </cell>
          <cell r="X335">
            <v>376.45</v>
          </cell>
        </row>
        <row r="336">
          <cell r="R336" t="str">
            <v>SISTEMA DE PROTEÇÃO CONTRA DESCARGAS ATMOSFÉRICAS (SPDA)</v>
          </cell>
          <cell r="X336">
            <v>76960.62</v>
          </cell>
        </row>
        <row r="337">
          <cell r="P337" t="str">
            <v>SINAPI-I</v>
          </cell>
          <cell r="Q337" t="str">
            <v>4274</v>
          </cell>
          <cell r="R337" t="str">
            <v>PARA-RAIOS TIPO FRANKLIN 350 MM, EM LATAO CROMADO, DUAS DESCIDAS, PARA PROTECAO DE EDIFICACOES CONTRA DESCARGAS ATMOSFERICAS</v>
          </cell>
          <cell r="S337" t="str">
            <v>UN</v>
          </cell>
          <cell r="T337">
            <v>3</v>
          </cell>
          <cell r="U337">
            <v>137.6</v>
          </cell>
          <cell r="W337">
            <v>170.22</v>
          </cell>
          <cell r="X337">
            <v>510.66</v>
          </cell>
        </row>
        <row r="338">
          <cell r="P338" t="str">
            <v>SINAPI-I</v>
          </cell>
          <cell r="Q338" t="str">
            <v>43054</v>
          </cell>
          <cell r="R338" t="str">
            <v>ACO CA-25, 10,0 MM, OU 12,5 MM, OU 16,0 MM, OU 20,0 MM, OU 25,0 MM, VERGALHAO</v>
          </cell>
          <cell r="S338" t="str">
            <v>KG</v>
          </cell>
          <cell r="T338">
            <v>35</v>
          </cell>
          <cell r="U338">
            <v>8.9499999999999993</v>
          </cell>
          <cell r="W338">
            <v>11.07</v>
          </cell>
          <cell r="X338">
            <v>387.45</v>
          </cell>
        </row>
        <row r="339">
          <cell r="P339" t="str">
            <v>SINAPI</v>
          </cell>
          <cell r="Q339" t="str">
            <v>103893</v>
          </cell>
          <cell r="R339" t="str">
            <v>CONECTOR EM BRONZE/LATÃO, DN 22 MM X 1/2", SEM ANEL DE SOLDA, BOLSA X ROSCA F, INSTALADO EM RAMAL E SUB-RAMAL DE AQUECIMENTO SOLAR - FORNECIMENTO E INSTALAÇÃO. AF_04/2022</v>
          </cell>
          <cell r="S339" t="str">
            <v>UN</v>
          </cell>
          <cell r="T339">
            <v>10</v>
          </cell>
          <cell r="U339">
            <v>22.99</v>
          </cell>
          <cell r="W339">
            <v>28.44</v>
          </cell>
          <cell r="X339">
            <v>284.39999999999998</v>
          </cell>
        </row>
        <row r="340">
          <cell r="P340" t="str">
            <v>SINAPI-I</v>
          </cell>
          <cell r="Q340" t="str">
            <v>11950</v>
          </cell>
          <cell r="R340" t="str">
            <v>BUCHA DE NYLON SEM ABA S6, COM PARAFUSO DE 4,20 X 40 MM EM ACO ZINCADO COM ROSCA SOBERBA, CABECA CHATA E FENDA PHILLIPS</v>
          </cell>
          <cell r="S340" t="str">
            <v>UN</v>
          </cell>
          <cell r="T340">
            <v>20</v>
          </cell>
          <cell r="U340">
            <v>0.41</v>
          </cell>
          <cell r="W340">
            <v>0.51</v>
          </cell>
          <cell r="X340">
            <v>10.199999999999999</v>
          </cell>
        </row>
        <row r="341">
          <cell r="P341" t="str">
            <v>SINAPI-I</v>
          </cell>
          <cell r="Q341">
            <v>39141</v>
          </cell>
          <cell r="R341" t="str">
            <v>ABRACADEIRA EM ACO PARA AMARRACAO DE ELETRODUTOS, TIPO U SIMPLES, COM 1 1/2"</v>
          </cell>
          <cell r="S341" t="str">
            <v>UN</v>
          </cell>
          <cell r="T341">
            <v>20</v>
          </cell>
          <cell r="U341">
            <v>1.97</v>
          </cell>
          <cell r="W341">
            <v>2.44</v>
          </cell>
          <cell r="X341">
            <v>48.8</v>
          </cell>
        </row>
        <row r="342">
          <cell r="P342" t="str">
            <v>Composição</v>
          </cell>
          <cell r="Q342" t="str">
            <v>047</v>
          </cell>
          <cell r="R342" t="str">
            <v>CAIXA DE EQUILIZAÇÃO DE POTÊNCIAS 200X200MM EM AÇO COM BARRAMENTO, ESPESSURA 6MM</v>
          </cell>
          <cell r="S342" t="str">
            <v xml:space="preserve">UN    </v>
          </cell>
          <cell r="T342">
            <v>1</v>
          </cell>
          <cell r="U342">
            <v>377.39</v>
          </cell>
          <cell r="W342">
            <v>466.87</v>
          </cell>
          <cell r="X342">
            <v>466.87</v>
          </cell>
        </row>
        <row r="343">
          <cell r="P343" t="str">
            <v>SINAPI</v>
          </cell>
          <cell r="Q343" t="str">
            <v>93358</v>
          </cell>
          <cell r="R343" t="str">
            <v>ESCAVAÇÃO MANUAL DE VALA. AF_09/2024</v>
          </cell>
          <cell r="S343" t="str">
            <v>M3</v>
          </cell>
          <cell r="T343">
            <v>30</v>
          </cell>
          <cell r="U343">
            <v>96.16</v>
          </cell>
          <cell r="W343">
            <v>118.96</v>
          </cell>
          <cell r="X343">
            <v>3568.8</v>
          </cell>
        </row>
        <row r="344">
          <cell r="P344" t="str">
            <v>SINAPI</v>
          </cell>
          <cell r="Q344" t="str">
            <v>96985</v>
          </cell>
          <cell r="R344" t="str">
            <v>HASTE DE ATERRAMENTO, DIÂMETRO 5/8", COM 3 METROS - FORNECIMENTO E INSTALAÇÃO. AF_08/2023</v>
          </cell>
          <cell r="S344" t="str">
            <v>UN</v>
          </cell>
          <cell r="T344">
            <v>10</v>
          </cell>
          <cell r="U344">
            <v>101.44</v>
          </cell>
          <cell r="W344">
            <v>125.49</v>
          </cell>
          <cell r="X344">
            <v>1254.9000000000001</v>
          </cell>
        </row>
        <row r="345">
          <cell r="P345" t="str">
            <v>SINAPI</v>
          </cell>
          <cell r="Q345" t="str">
            <v>96973</v>
          </cell>
          <cell r="R345" t="str">
            <v>CORDOALHA DE COBRE NU 35 MM², NÃO ENTERRADA, COM ISOLADOR - FORNECIMENTO E INSTALAÇÃO. AF_08/2023</v>
          </cell>
          <cell r="S345" t="str">
            <v>M</v>
          </cell>
          <cell r="T345">
            <v>250</v>
          </cell>
          <cell r="U345">
            <v>73.959999999999994</v>
          </cell>
          <cell r="W345">
            <v>91.5</v>
          </cell>
          <cell r="X345">
            <v>22875</v>
          </cell>
        </row>
        <row r="346">
          <cell r="P346" t="str">
            <v>SINAPI</v>
          </cell>
          <cell r="Q346" t="str">
            <v>96974</v>
          </cell>
          <cell r="R346" t="str">
            <v>CORDOALHA DE COBRE NU 50 MM², NÃO ENTERRADA, COM ISOLADOR - FORNECIMENTO E INSTALAÇÃO. AF_08/2023</v>
          </cell>
          <cell r="S346" t="str">
            <v>M</v>
          </cell>
          <cell r="T346">
            <v>200</v>
          </cell>
          <cell r="U346">
            <v>95.26</v>
          </cell>
          <cell r="W346">
            <v>117.85</v>
          </cell>
          <cell r="X346">
            <v>23570</v>
          </cell>
        </row>
        <row r="347">
          <cell r="P347" t="str">
            <v>SINAPI-I</v>
          </cell>
          <cell r="Q347" t="str">
            <v>34643</v>
          </cell>
          <cell r="R347" t="str">
            <v>CAIXA DE INSPECAO PARA ATERRAMENTO E PARA RAIOS, EM POLIPROPILENO, DIAMETRO = 300 MM X ALTURA = 400 MM (INCLUIDA TAMPA SEM ESCOTILHA)</v>
          </cell>
          <cell r="S347" t="str">
            <v>UN</v>
          </cell>
          <cell r="T347">
            <v>5</v>
          </cell>
          <cell r="U347">
            <v>43.09</v>
          </cell>
          <cell r="W347">
            <v>53.31</v>
          </cell>
          <cell r="X347">
            <v>266.55</v>
          </cell>
        </row>
        <row r="348">
          <cell r="P348" t="str">
            <v>SINAPI</v>
          </cell>
          <cell r="Q348" t="str">
            <v>103899</v>
          </cell>
          <cell r="R348" t="str">
            <v>CONECTOR EM BRONZE/LATÃO, DN 28 MM X 1/2", SEM ANEL DE SOLDA, BOLSA X ROSCA F, INSTALADO EM RAMAL E SUB-RAMAL DE AQUECIMENTO SOLAR - FORNECIMENTO E INSTALAÇÃO. AF_04/2022</v>
          </cell>
          <cell r="S348" t="str">
            <v>UN</v>
          </cell>
          <cell r="T348">
            <v>10</v>
          </cell>
          <cell r="U348">
            <v>35.119999999999997</v>
          </cell>
          <cell r="W348">
            <v>43.45</v>
          </cell>
          <cell r="X348">
            <v>434.5</v>
          </cell>
        </row>
        <row r="349">
          <cell r="P349" t="str">
            <v>SINAPI</v>
          </cell>
          <cell r="Q349" t="str">
            <v>96973</v>
          </cell>
          <cell r="R349" t="str">
            <v>CORDOALHA DE COBRE NU 35 MM², NÃO ENTERRADA, COM ISOLADOR - FORNECIMENTO E INSTALAÇÃO. AF_08/2023</v>
          </cell>
          <cell r="S349" t="str">
            <v>M</v>
          </cell>
          <cell r="T349">
            <v>176</v>
          </cell>
          <cell r="U349">
            <v>73.959999999999994</v>
          </cell>
          <cell r="W349">
            <v>91.5</v>
          </cell>
          <cell r="X349">
            <v>16104</v>
          </cell>
        </row>
        <row r="350">
          <cell r="P350" t="str">
            <v>SINAPI-I</v>
          </cell>
          <cell r="Q350" t="str">
            <v>11950</v>
          </cell>
          <cell r="R350" t="str">
            <v>BUCHA DE NYLON SEM ABA S6, COM PARAFUSO DE 4,20 X 40 MM EM ACO ZINCADO COM ROSCA SOBERBA, CABECA CHATA E FENDA PHILLIPS</v>
          </cell>
          <cell r="S350" t="str">
            <v>UN</v>
          </cell>
          <cell r="T350">
            <v>88</v>
          </cell>
          <cell r="U350">
            <v>0.41</v>
          </cell>
          <cell r="W350">
            <v>0.51</v>
          </cell>
          <cell r="X350">
            <v>44.88</v>
          </cell>
        </row>
        <row r="351">
          <cell r="P351" t="str">
            <v>SINAPI-I</v>
          </cell>
          <cell r="Q351">
            <v>39141</v>
          </cell>
          <cell r="R351" t="str">
            <v>ABRACADEIRA EM ACO PARA AMARRACAO DE ELETRODUTOS, TIPO U SIMPLES, COM 1 1/2"</v>
          </cell>
          <cell r="S351" t="str">
            <v>UN</v>
          </cell>
          <cell r="T351">
            <v>44</v>
          </cell>
          <cell r="U351">
            <v>1.97</v>
          </cell>
          <cell r="W351">
            <v>2.44</v>
          </cell>
          <cell r="X351">
            <v>107.36</v>
          </cell>
        </row>
        <row r="352">
          <cell r="P352" t="str">
            <v>SINAPI-I</v>
          </cell>
          <cell r="Q352" t="str">
            <v>34643</v>
          </cell>
          <cell r="R352" t="str">
            <v>CAIXA DE INSPECAO PARA ATERRAMENTO E PARA RAIOS, EM POLIPROPILENO, DIAMETRO = 300 MM X ALTURA = 400 MM (INCLUIDA TAMPA SEM ESCOTILHA)</v>
          </cell>
          <cell r="S352" t="str">
            <v>UN</v>
          </cell>
          <cell r="T352">
            <v>11</v>
          </cell>
          <cell r="U352">
            <v>43.09</v>
          </cell>
          <cell r="W352">
            <v>53.31</v>
          </cell>
          <cell r="X352">
            <v>586.41</v>
          </cell>
        </row>
        <row r="353">
          <cell r="P353" t="str">
            <v>SINAPI</v>
          </cell>
          <cell r="Q353">
            <v>95728</v>
          </cell>
          <cell r="R353" t="str">
            <v>ELETRODUTO RÍGIDO SOLDÁVEL, PVC, DN 32 MM (1"), APARENTE - FORNECIMENTO E INSTALAÇÃO. AF_10/2022</v>
          </cell>
          <cell r="S353" t="str">
            <v>M</v>
          </cell>
          <cell r="T353">
            <v>176</v>
          </cell>
          <cell r="U353">
            <v>29.58</v>
          </cell>
          <cell r="W353">
            <v>36.590000000000003</v>
          </cell>
          <cell r="X353">
            <v>6439.84</v>
          </cell>
        </row>
        <row r="354">
          <cell r="R354" t="str">
            <v>SERVIÇOS COMPLEMENTARES</v>
          </cell>
          <cell r="X354">
            <v>18101.03</v>
          </cell>
        </row>
        <row r="355">
          <cell r="P355" t="str">
            <v>Composição</v>
          </cell>
          <cell r="Q355" t="str">
            <v>048</v>
          </cell>
          <cell r="R355" t="str">
            <v>CONJUNTO DE MASTROS PARA BANDEIRAS EM TUBO FERRO GALVANIZADO TELESCÓPIO (ALTURA 7M)</v>
          </cell>
          <cell r="S355" t="str">
            <v xml:space="preserve">UN    </v>
          </cell>
          <cell r="T355">
            <v>1</v>
          </cell>
          <cell r="U355">
            <v>3813.08</v>
          </cell>
          <cell r="W355">
            <v>4717.16</v>
          </cell>
          <cell r="X355">
            <v>4717.16</v>
          </cell>
        </row>
        <row r="356">
          <cell r="P356" t="str">
            <v>Composição</v>
          </cell>
          <cell r="Q356" t="str">
            <v>049</v>
          </cell>
          <cell r="R356" t="str">
            <v>BANCADA EM GRANITO CINZA ANDORINHA - ESPESSURA 2 CM - CONFORME PROJETO</v>
          </cell>
          <cell r="S356" t="str">
            <v>M²</v>
          </cell>
          <cell r="T356">
            <v>29.79</v>
          </cell>
          <cell r="U356">
            <v>129.44999999999999</v>
          </cell>
          <cell r="W356">
            <v>160.13999999999999</v>
          </cell>
          <cell r="X356">
            <v>4770.57</v>
          </cell>
        </row>
        <row r="357">
          <cell r="P357" t="str">
            <v>Composição</v>
          </cell>
          <cell r="Q357" t="str">
            <v>050</v>
          </cell>
          <cell r="R357" t="str">
            <v>PRATELEIRA, ACABAMENTOS EM GRANITO CINZA ANDORINHA - ESPESSURA 2CM, CONFORME PROJETO</v>
          </cell>
          <cell r="S357" t="str">
            <v>M²</v>
          </cell>
          <cell r="T357">
            <v>30.37</v>
          </cell>
          <cell r="U357">
            <v>129.44999999999999</v>
          </cell>
          <cell r="W357">
            <v>160.13999999999999</v>
          </cell>
          <cell r="X357">
            <v>4863.45</v>
          </cell>
        </row>
        <row r="358">
          <cell r="P358" t="str">
            <v>Composição</v>
          </cell>
          <cell r="Q358" t="str">
            <v>051</v>
          </cell>
          <cell r="R358" t="str">
            <v>PRATELEIRAS E ESCANINHOS EM MDF</v>
          </cell>
          <cell r="S358" t="str">
            <v>M²</v>
          </cell>
          <cell r="T358">
            <v>31</v>
          </cell>
          <cell r="U358">
            <v>70.36</v>
          </cell>
          <cell r="W358">
            <v>87.04</v>
          </cell>
          <cell r="X358">
            <v>2698.24</v>
          </cell>
        </row>
        <row r="359">
          <cell r="P359" t="str">
            <v>Composição</v>
          </cell>
          <cell r="Q359" t="str">
            <v>052</v>
          </cell>
          <cell r="R359" t="str">
            <v>BANCO E ACABAMENTO EM GRANITO</v>
          </cell>
          <cell r="S359" t="str">
            <v xml:space="preserve">UN    </v>
          </cell>
          <cell r="T359">
            <v>2.4</v>
          </cell>
          <cell r="U359">
            <v>354.19</v>
          </cell>
          <cell r="W359">
            <v>438.17</v>
          </cell>
          <cell r="X359">
            <v>1051.6099999999999</v>
          </cell>
        </row>
        <row r="360">
          <cell r="R360" t="str">
            <v>SERVIÇOS FINAIS</v>
          </cell>
          <cell r="X360">
            <v>5709.58</v>
          </cell>
        </row>
        <row r="361">
          <cell r="P361" t="str">
            <v>Composição</v>
          </cell>
          <cell r="Q361" t="str">
            <v>053</v>
          </cell>
          <cell r="R361" t="str">
            <v>LIMPEZA FINAL DA OBRA</v>
          </cell>
          <cell r="S361" t="str">
            <v>M²</v>
          </cell>
          <cell r="T361">
            <v>890.73</v>
          </cell>
          <cell r="U361">
            <v>5.18</v>
          </cell>
          <cell r="W361">
            <v>6.41</v>
          </cell>
          <cell r="X361">
            <v>5709.58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AE62"/>
  <sheetViews>
    <sheetView topLeftCell="I1" zoomScale="85" zoomScaleNormal="85" workbookViewId="0">
      <selection activeCell="T10" sqref="T10"/>
    </sheetView>
  </sheetViews>
  <sheetFormatPr defaultColWidth="0" defaultRowHeight="12.75" customHeight="1" zeroHeight="1"/>
  <cols>
    <col min="1" max="1" width="30.33203125" style="43" hidden="1" customWidth="1"/>
    <col min="2" max="3" width="9.109375" style="43" hidden="1" customWidth="1"/>
    <col min="4" max="4" width="23.5546875" style="43" hidden="1" customWidth="1"/>
    <col min="5" max="8" width="9.109375" style="43" hidden="1" customWidth="1"/>
    <col min="9" max="14" width="10.6640625" style="43" customWidth="1"/>
    <col min="15" max="15" width="12.88671875" style="43" customWidth="1"/>
    <col min="16" max="18" width="10.6640625" style="43" customWidth="1"/>
    <col min="19" max="19" width="3.6640625" style="43" customWidth="1"/>
    <col min="20" max="20" width="29.5546875" style="43" customWidth="1"/>
    <col min="21" max="21" width="13.6640625" style="43" customWidth="1"/>
    <col min="22" max="16384" width="9.109375" style="43" hidden="1"/>
  </cols>
  <sheetData>
    <row r="1" spans="1:29" ht="15" customHeight="1">
      <c r="A1" s="43" t="s">
        <v>25</v>
      </c>
      <c r="B1" s="44" t="s">
        <v>26</v>
      </c>
      <c r="C1" s="43" t="str">
        <f t="shared" ref="C1:C44" si="0">CONCATENATE(A1,"-",B1)</f>
        <v>Construção e Reforma de Edifícios-AC</v>
      </c>
      <c r="E1" s="45">
        <v>0.03</v>
      </c>
      <c r="F1" s="45">
        <v>0.04</v>
      </c>
      <c r="G1" s="45">
        <v>5.5E-2</v>
      </c>
      <c r="I1" s="173" t="s">
        <v>75</v>
      </c>
      <c r="J1" s="173"/>
      <c r="K1" s="173"/>
      <c r="L1" s="173"/>
      <c r="M1" s="173"/>
      <c r="N1" s="173"/>
      <c r="O1" s="173"/>
      <c r="P1" s="173"/>
      <c r="Q1" s="173"/>
      <c r="R1" s="173"/>
    </row>
    <row r="2" spans="1:29" ht="15" customHeight="1">
      <c r="B2" s="44"/>
      <c r="E2" s="45"/>
      <c r="F2" s="45"/>
      <c r="G2" s="45"/>
      <c r="I2" s="173"/>
      <c r="J2" s="173"/>
      <c r="K2" s="173"/>
      <c r="L2" s="173"/>
      <c r="M2" s="173"/>
      <c r="N2" s="173"/>
      <c r="O2" s="173"/>
      <c r="P2" s="173"/>
      <c r="Q2" s="173"/>
      <c r="R2" s="173"/>
    </row>
    <row r="3" spans="1:29" ht="13.2">
      <c r="A3" s="43" t="str">
        <f>A1</f>
        <v>Construção e Reforma de Edifícios</v>
      </c>
      <c r="B3" s="44" t="s">
        <v>27</v>
      </c>
      <c r="C3" s="43" t="str">
        <f t="shared" si="0"/>
        <v>Construção e Reforma de Edifícios-SG</v>
      </c>
      <c r="E3" s="45">
        <v>8.0000000000000002E-3</v>
      </c>
      <c r="F3" s="45">
        <v>8.0000000000000002E-3</v>
      </c>
      <c r="G3" s="45">
        <v>0.01</v>
      </c>
    </row>
    <row r="4" spans="1:29" ht="13.2" hidden="1">
      <c r="A4" s="43" t="str">
        <f>A3</f>
        <v>Construção e Reforma de Edifícios</v>
      </c>
      <c r="B4" s="44" t="s">
        <v>28</v>
      </c>
      <c r="C4" s="43" t="str">
        <f t="shared" si="0"/>
        <v>Construção e Reforma de Edifícios-R</v>
      </c>
      <c r="E4" s="45">
        <v>9.7000000000000003E-3</v>
      </c>
      <c r="F4" s="45">
        <v>1.2699999999999999E-2</v>
      </c>
      <c r="G4" s="45">
        <v>1.2699999999999999E-2</v>
      </c>
      <c r="I4" s="133" t="str">
        <f>[3]Cronograma!A5</f>
        <v>Obra:</v>
      </c>
      <c r="J4" s="134"/>
      <c r="K4" s="133" t="s">
        <v>29</v>
      </c>
      <c r="L4" s="136"/>
      <c r="M4" s="136"/>
      <c r="N4" s="136"/>
      <c r="O4" s="136"/>
      <c r="P4" s="136"/>
      <c r="Q4" s="136"/>
      <c r="R4" s="134"/>
    </row>
    <row r="5" spans="1:29" ht="12.75" hidden="1" customHeight="1">
      <c r="A5" s="43" t="str">
        <f>A4</f>
        <v>Construção e Reforma de Edifícios</v>
      </c>
      <c r="B5" s="44" t="s">
        <v>30</v>
      </c>
      <c r="C5" s="43" t="str">
        <f t="shared" si="0"/>
        <v>Construção e Reforma de Edifícios-DF</v>
      </c>
      <c r="E5" s="45">
        <v>5.8999999999999999E-3</v>
      </c>
      <c r="F5" s="45">
        <v>1.23E-2</v>
      </c>
      <c r="G5" s="45">
        <v>1.3899999999999999E-2</v>
      </c>
      <c r="I5" s="137" t="str">
        <f>[3]Cronograma!B5</f>
        <v xml:space="preserve">REFORMA FARMÁCIA MUNICIPAL </v>
      </c>
      <c r="J5" s="138"/>
      <c r="K5" s="139" t="s">
        <v>31</v>
      </c>
      <c r="L5" s="140"/>
      <c r="M5" s="140"/>
      <c r="N5" s="140"/>
      <c r="O5" s="140"/>
      <c r="P5" s="140"/>
      <c r="Q5" s="140"/>
      <c r="R5" s="141"/>
      <c r="S5" s="46"/>
    </row>
    <row r="6" spans="1:29" ht="6" hidden="1" customHeight="1">
      <c r="A6" s="43" t="str">
        <f>A5</f>
        <v>Construção e Reforma de Edifícios</v>
      </c>
      <c r="B6" s="44" t="s">
        <v>32</v>
      </c>
      <c r="C6" s="43" t="str">
        <f t="shared" si="0"/>
        <v>Construção e Reforma de Edifícios-L</v>
      </c>
      <c r="E6" s="45">
        <v>6.1600000000000002E-2</v>
      </c>
      <c r="F6" s="45">
        <v>7.400000000000001E-2</v>
      </c>
      <c r="G6" s="45">
        <v>8.9600000000000013E-2</v>
      </c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29" ht="15" customHeight="1">
      <c r="A7" s="43" t="str">
        <f>A6</f>
        <v>Construção e Reforma de Edifícios</v>
      </c>
      <c r="B7" s="48" t="s">
        <v>33</v>
      </c>
      <c r="C7" s="43" t="str">
        <f t="shared" si="0"/>
        <v>Construção e Reforma de Edifícios-BDI PAD</v>
      </c>
      <c r="E7" s="45">
        <v>0.2034</v>
      </c>
      <c r="F7" s="45">
        <v>0.22120000000000001</v>
      </c>
      <c r="G7" s="45">
        <v>0.25</v>
      </c>
      <c r="I7" s="144" t="s">
        <v>34</v>
      </c>
      <c r="J7" s="145"/>
      <c r="K7" s="145"/>
      <c r="L7" s="145"/>
      <c r="M7" s="145"/>
      <c r="N7" s="145"/>
      <c r="O7" s="145"/>
      <c r="P7" s="145"/>
      <c r="Q7" s="145"/>
      <c r="R7" s="146"/>
    </row>
    <row r="8" spans="1:29" ht="24.75" customHeight="1">
      <c r="A8" s="43" t="s">
        <v>35</v>
      </c>
      <c r="B8" s="44" t="s">
        <v>26</v>
      </c>
      <c r="C8" s="43" t="str">
        <f t="shared" si="0"/>
        <v>Construção de Praças Urbanas, Rodovias, Ferrovias e recapeamento e pavimentação de vias urbanas-AC</v>
      </c>
      <c r="E8" s="45">
        <v>3.7999999999999999E-2</v>
      </c>
      <c r="F8" s="45">
        <v>4.0099999999999997E-2</v>
      </c>
      <c r="G8" s="45">
        <v>4.6699999999999998E-2</v>
      </c>
      <c r="I8" s="147" t="str">
        <f>CFF!B4</f>
        <v xml:space="preserve">FINALIZAÇÃO DA CONSTRUÇÃO DA CRECHE PRÓ-INFANCIA TIPO II </v>
      </c>
      <c r="J8" s="147"/>
      <c r="K8" s="147"/>
      <c r="L8" s="147"/>
      <c r="M8" s="147"/>
      <c r="N8" s="147"/>
      <c r="O8" s="147"/>
      <c r="P8" s="147"/>
      <c r="Q8" s="147"/>
      <c r="R8" s="147"/>
    </row>
    <row r="9" spans="1:29" ht="6" customHeight="1">
      <c r="A9" s="43" t="s">
        <v>35</v>
      </c>
      <c r="B9" s="44" t="s">
        <v>27</v>
      </c>
      <c r="C9" s="43" t="str">
        <f t="shared" si="0"/>
        <v>Construção de Praças Urbanas, Rodovias, Ferrovias e recapeamento e pavimentação de vias urbanas-SG</v>
      </c>
      <c r="E9" s="45">
        <v>3.2000000000000002E-3</v>
      </c>
      <c r="F9" s="45">
        <v>4.0000000000000001E-3</v>
      </c>
      <c r="G9" s="45">
        <v>7.4000000000000003E-3</v>
      </c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29" ht="13.2">
      <c r="A10" s="43" t="s">
        <v>35</v>
      </c>
      <c r="B10" s="44" t="s">
        <v>28</v>
      </c>
      <c r="C10" s="43" t="str">
        <f t="shared" si="0"/>
        <v>Construção de Praças Urbanas, Rodovias, Ferrovias e recapeamento e pavimentação de vias urbanas-R</v>
      </c>
      <c r="E10" s="45">
        <v>5.0000000000000001E-3</v>
      </c>
      <c r="F10" s="45">
        <v>5.6000000000000008E-3</v>
      </c>
      <c r="G10" s="45">
        <v>9.7000000000000003E-3</v>
      </c>
      <c r="I10" s="133" t="s">
        <v>36</v>
      </c>
      <c r="J10" s="136"/>
      <c r="K10" s="136"/>
      <c r="L10" s="136"/>
      <c r="M10" s="136"/>
      <c r="N10" s="136"/>
      <c r="O10" s="136"/>
      <c r="P10" s="136"/>
      <c r="Q10" s="133" t="s">
        <v>37</v>
      </c>
      <c r="R10" s="134"/>
    </row>
    <row r="11" spans="1:29" ht="13.2">
      <c r="A11" s="43" t="s">
        <v>35</v>
      </c>
      <c r="B11" s="44" t="s">
        <v>30</v>
      </c>
      <c r="C11" s="43" t="str">
        <f t="shared" si="0"/>
        <v>Construção de Praças Urbanas, Rodovias, Ferrovias e recapeamento e pavimentação de vias urbanas-DF</v>
      </c>
      <c r="E11" s="45">
        <v>1.0200000000000001E-2</v>
      </c>
      <c r="F11" s="45">
        <v>1.11E-2</v>
      </c>
      <c r="G11" s="45">
        <v>1.21E-2</v>
      </c>
      <c r="I11" s="150" t="s">
        <v>25</v>
      </c>
      <c r="J11" s="151"/>
      <c r="K11" s="151"/>
      <c r="L11" s="151"/>
      <c r="M11" s="151"/>
      <c r="N11" s="151"/>
      <c r="O11" s="151"/>
      <c r="P11" s="152"/>
      <c r="Q11" s="158" t="s">
        <v>38</v>
      </c>
      <c r="R11" s="159"/>
    </row>
    <row r="12" spans="1:29" ht="13.2">
      <c r="A12" s="43" t="s">
        <v>35</v>
      </c>
      <c r="B12" s="44" t="s">
        <v>32</v>
      </c>
      <c r="C12" s="43" t="str">
        <f t="shared" si="0"/>
        <v>Construção de Praças Urbanas, Rodovias, Ferrovias e recapeamento e pavimentação de vias urbanas-L</v>
      </c>
      <c r="E12" s="45">
        <v>6.6400000000000001E-2</v>
      </c>
      <c r="F12" s="45">
        <v>7.2999999999999995E-2</v>
      </c>
      <c r="G12" s="45">
        <v>8.6899999999999991E-2</v>
      </c>
    </row>
    <row r="13" spans="1:29" ht="15" customHeight="1">
      <c r="A13" s="43" t="s">
        <v>35</v>
      </c>
      <c r="B13" s="48" t="s">
        <v>33</v>
      </c>
      <c r="C13" s="43" t="str">
        <f t="shared" si="0"/>
        <v>Construção de Praças Urbanas, Rodovias, Ferrovias e recapeamento e pavimentação de vias urbanas-BDI PAD</v>
      </c>
      <c r="E13" s="45">
        <v>0.19600000000000001</v>
      </c>
      <c r="F13" s="45">
        <v>0.2097</v>
      </c>
      <c r="G13" s="45">
        <v>0.24230000000000002</v>
      </c>
      <c r="I13" s="142" t="s">
        <v>39</v>
      </c>
      <c r="J13" s="142"/>
      <c r="K13" s="142"/>
      <c r="L13" s="142"/>
      <c r="M13" s="142"/>
      <c r="N13" s="142"/>
      <c r="O13" s="142"/>
      <c r="P13" s="142"/>
      <c r="Q13" s="143">
        <v>0.4</v>
      </c>
      <c r="R13" s="143"/>
    </row>
    <row r="14" spans="1:29" ht="15" customHeight="1">
      <c r="A14" s="43" t="s">
        <v>40</v>
      </c>
      <c r="B14" s="44" t="s">
        <v>26</v>
      </c>
      <c r="C14" s="43" t="str">
        <f t="shared" si="0"/>
        <v>Construção de Redes de Abastecimento de Água, Coleta de Esgoto-AC</v>
      </c>
      <c r="E14" s="45">
        <v>3.4300000000000004E-2</v>
      </c>
      <c r="F14" s="45">
        <v>4.9299999999999997E-2</v>
      </c>
      <c r="G14" s="45">
        <v>6.7099999999999993E-2</v>
      </c>
      <c r="I14" s="160" t="s">
        <v>41</v>
      </c>
      <c r="J14" s="160"/>
      <c r="K14" s="160"/>
      <c r="L14" s="160"/>
      <c r="M14" s="160"/>
      <c r="N14" s="160"/>
      <c r="O14" s="160"/>
      <c r="P14" s="160"/>
      <c r="Q14" s="143">
        <v>0.03</v>
      </c>
      <c r="R14" s="143"/>
    </row>
    <row r="15" spans="1:29" ht="13.2">
      <c r="A15" s="43" t="str">
        <f>A14</f>
        <v>Construção de Redes de Abastecimento de Água, Coleta de Esgoto</v>
      </c>
      <c r="B15" s="44" t="s">
        <v>27</v>
      </c>
      <c r="C15" s="43" t="str">
        <f t="shared" si="0"/>
        <v>Construção de Redes de Abastecimento de Água, Coleta de Esgoto-SG</v>
      </c>
      <c r="E15" s="45">
        <v>2.8000000000000004E-3</v>
      </c>
      <c r="F15" s="45">
        <v>4.8999999999999998E-3</v>
      </c>
      <c r="G15" s="45">
        <v>7.4999999999999997E-3</v>
      </c>
    </row>
    <row r="16" spans="1:29" ht="12.75" customHeight="1">
      <c r="B16" s="44"/>
      <c r="E16" s="45"/>
      <c r="F16" s="45"/>
      <c r="G16" s="45"/>
      <c r="I16" s="148" t="s">
        <v>42</v>
      </c>
      <c r="J16" s="148"/>
      <c r="K16" s="148"/>
      <c r="L16" s="148"/>
      <c r="M16" s="148" t="s">
        <v>43</v>
      </c>
      <c r="N16" s="149" t="s">
        <v>44</v>
      </c>
      <c r="O16" s="149" t="s">
        <v>45</v>
      </c>
      <c r="P16" s="135" t="s">
        <v>46</v>
      </c>
      <c r="Q16" s="135" t="s">
        <v>47</v>
      </c>
      <c r="R16" s="135" t="s">
        <v>48</v>
      </c>
      <c r="T16" s="153"/>
      <c r="U16" s="153"/>
      <c r="V16" s="51"/>
      <c r="W16" s="51"/>
      <c r="X16" s="51"/>
      <c r="Y16" s="51"/>
      <c r="Z16" s="51"/>
      <c r="AA16" s="51"/>
      <c r="AB16" s="51"/>
      <c r="AC16" s="51"/>
    </row>
    <row r="17" spans="1:31" ht="15.75" customHeight="1">
      <c r="A17" s="43" t="str">
        <f>A15</f>
        <v>Construção de Redes de Abastecimento de Água, Coleta de Esgoto</v>
      </c>
      <c r="B17" s="44" t="s">
        <v>28</v>
      </c>
      <c r="C17" s="43" t="str">
        <f t="shared" si="0"/>
        <v>Construção de Redes de Abastecimento de Água, Coleta de Esgoto-R</v>
      </c>
      <c r="E17" s="45">
        <v>0.01</v>
      </c>
      <c r="F17" s="45">
        <v>1.3899999999999999E-2</v>
      </c>
      <c r="G17" s="45">
        <v>1.7399999999999999E-2</v>
      </c>
      <c r="I17" s="148"/>
      <c r="J17" s="148"/>
      <c r="K17" s="148"/>
      <c r="L17" s="148"/>
      <c r="M17" s="148"/>
      <c r="N17" s="149"/>
      <c r="O17" s="149"/>
      <c r="P17" s="135"/>
      <c r="Q17" s="135"/>
      <c r="R17" s="135"/>
      <c r="T17" s="153"/>
      <c r="U17" s="153"/>
      <c r="V17" s="51"/>
      <c r="W17" s="51"/>
      <c r="X17" s="51"/>
      <c r="Y17" s="51"/>
      <c r="Z17" s="51"/>
      <c r="AA17" s="51"/>
      <c r="AB17" s="51"/>
      <c r="AC17" s="51"/>
    </row>
    <row r="18" spans="1:31" ht="26.25" customHeight="1">
      <c r="A18" s="43" t="str">
        <f>A17</f>
        <v>Construção de Redes de Abastecimento de Água, Coleta de Esgoto</v>
      </c>
      <c r="B18" s="44" t="s">
        <v>30</v>
      </c>
      <c r="C18" s="43" t="str">
        <f t="shared" si="0"/>
        <v>Construção de Redes de Abastecimento de Água, Coleta de Esgoto-DF</v>
      </c>
      <c r="E18" s="45">
        <v>9.3999999999999986E-3</v>
      </c>
      <c r="F18" s="45">
        <v>9.8999999999999991E-3</v>
      </c>
      <c r="G18" s="45">
        <v>1.1699999999999999E-2</v>
      </c>
      <c r="I18" s="154" t="str">
        <f>IF($I$11=$A$54,"Encargos Sociais incidentes sobre a mão de obra","Administração Central")</f>
        <v>Administração Central</v>
      </c>
      <c r="J18" s="154"/>
      <c r="K18" s="154"/>
      <c r="L18" s="154"/>
      <c r="M18" s="52" t="str">
        <f>IF($I$11=$A$54,"K1","AC")</f>
        <v>AC</v>
      </c>
      <c r="N18" s="53">
        <v>5.0999999999999997E-2</v>
      </c>
      <c r="O18" s="54" t="s">
        <v>49</v>
      </c>
      <c r="P18" s="55">
        <f>VLOOKUP(CONCATENATE(I$11,"-",M18),$C$1:$G$44,3,FALSE)</f>
        <v>0.03</v>
      </c>
      <c r="Q18" s="55">
        <f>VLOOKUP(CONCATENATE(I$11,"-",M18),$C$1:$G$44,4,FALSE)</f>
        <v>0.04</v>
      </c>
      <c r="R18" s="55">
        <f>VLOOKUP(CONCATENATE(I$11,"-",M18),$C$1:$G$44,5,FALSE)</f>
        <v>5.5E-2</v>
      </c>
      <c r="T18" s="153"/>
      <c r="U18" s="153"/>
      <c r="V18" s="51"/>
      <c r="W18" s="51"/>
      <c r="X18" s="51"/>
      <c r="Y18" s="51"/>
      <c r="Z18" s="51"/>
      <c r="AA18" s="51"/>
      <c r="AB18" s="51"/>
      <c r="AC18" s="51"/>
    </row>
    <row r="19" spans="1:31" ht="26.25" customHeight="1">
      <c r="A19" s="43" t="str">
        <f>A18</f>
        <v>Construção de Redes de Abastecimento de Água, Coleta de Esgoto</v>
      </c>
      <c r="B19" s="44" t="s">
        <v>32</v>
      </c>
      <c r="C19" s="43" t="str">
        <f t="shared" si="0"/>
        <v>Construção de Redes de Abastecimento de Água, Coleta de Esgoto-L</v>
      </c>
      <c r="E19" s="45">
        <v>6.7400000000000002E-2</v>
      </c>
      <c r="F19" s="45">
        <v>8.0399999999999985E-2</v>
      </c>
      <c r="G19" s="45">
        <v>9.4E-2</v>
      </c>
      <c r="I19" s="154" t="str">
        <f>IF($I$11=$A$54,"Administração Central da empresa ou consultoria - overhead","Seguro e Garantia")</f>
        <v>Seguro e Garantia</v>
      </c>
      <c r="J19" s="154"/>
      <c r="K19" s="154"/>
      <c r="L19" s="154"/>
      <c r="M19" s="52" t="str">
        <f>IF($I$11=$A$54,"K2","SG")</f>
        <v>SG</v>
      </c>
      <c r="N19" s="53">
        <v>0.01</v>
      </c>
      <c r="O19" s="54" t="s">
        <v>49</v>
      </c>
      <c r="P19" s="55">
        <f>VLOOKUP(CONCATENATE(I$11,"-",M19),$C$1:$G$44,3,FALSE)</f>
        <v>8.0000000000000002E-3</v>
      </c>
      <c r="Q19" s="55">
        <f>VLOOKUP(CONCATENATE(I$11,"-",M19),$C$1:$G$44,4,FALSE)</f>
        <v>8.0000000000000002E-3</v>
      </c>
      <c r="R19" s="55">
        <f>VLOOKUP(CONCATENATE(I$11,"-",M19),$C$1:$G$44,5,FALSE)</f>
        <v>0.01</v>
      </c>
      <c r="T19" s="153"/>
      <c r="U19" s="153"/>
      <c r="V19" s="51"/>
      <c r="W19" s="51"/>
      <c r="X19" s="51"/>
      <c r="Y19" s="51"/>
      <c r="Z19" s="51"/>
      <c r="AA19" s="51"/>
      <c r="AB19" s="51"/>
      <c r="AC19" s="51"/>
    </row>
    <row r="20" spans="1:31" ht="26.25" customHeight="1">
      <c r="A20" s="43" t="str">
        <f>A19</f>
        <v>Construção de Redes de Abastecimento de Água, Coleta de Esgoto</v>
      </c>
      <c r="B20" s="48" t="s">
        <v>33</v>
      </c>
      <c r="C20" s="43" t="str">
        <f t="shared" si="0"/>
        <v>Construção de Redes de Abastecimento de Água, Coleta de Esgoto-BDI PAD</v>
      </c>
      <c r="E20" s="45">
        <v>0.20760000000000001</v>
      </c>
      <c r="F20" s="45">
        <v>0.24179999999999999</v>
      </c>
      <c r="G20" s="45">
        <v>0.26440000000000002</v>
      </c>
      <c r="I20" s="154" t="str">
        <f>IF($I$11=$A$54,"","Risco")</f>
        <v>Risco</v>
      </c>
      <c r="J20" s="154"/>
      <c r="K20" s="154"/>
      <c r="L20" s="154"/>
      <c r="M20" s="52" t="str">
        <f>IF($I$11=$A$54,"","R")</f>
        <v>R</v>
      </c>
      <c r="N20" s="53">
        <v>1.0999999999999999E-2</v>
      </c>
      <c r="O20" s="54" t="s">
        <v>49</v>
      </c>
      <c r="P20" s="55">
        <f>VLOOKUP(CONCATENATE(I$11,"-",M20),$C$1:$G$44,3,FALSE)</f>
        <v>9.7000000000000003E-3</v>
      </c>
      <c r="Q20" s="55">
        <f>VLOOKUP(CONCATENATE(I$11,"-",M20),$C$1:$G$44,4,FALSE)</f>
        <v>1.2699999999999999E-2</v>
      </c>
      <c r="R20" s="55">
        <f>VLOOKUP(CONCATENATE(I$11,"-",M20),$C$1:$G$44,5,FALSE)</f>
        <v>1.2699999999999999E-2</v>
      </c>
      <c r="T20" s="153"/>
      <c r="U20" s="153"/>
      <c r="V20" s="51"/>
      <c r="W20" s="51"/>
      <c r="X20" s="51"/>
      <c r="Y20" s="51"/>
      <c r="Z20" s="51"/>
      <c r="AA20" s="51"/>
      <c r="AB20" s="51"/>
      <c r="AC20" s="51"/>
    </row>
    <row r="21" spans="1:31" ht="26.25" customHeight="1">
      <c r="A21" s="43" t="s">
        <v>50</v>
      </c>
      <c r="B21" s="44" t="s">
        <v>26</v>
      </c>
      <c r="C21" s="43" t="str">
        <f t="shared" si="0"/>
        <v>Construção e Manutenção de Estações e Redes de Distribuição de Energia Elétrica-AC</v>
      </c>
      <c r="E21" s="45">
        <v>5.2900000000000003E-2</v>
      </c>
      <c r="F21" s="45">
        <v>5.9200000000000003E-2</v>
      </c>
      <c r="G21" s="45">
        <v>7.9299999999999995E-2</v>
      </c>
      <c r="I21" s="154" t="str">
        <f>IF($I$11=$A$54,"","Despesas Financeiras")</f>
        <v>Despesas Financeiras</v>
      </c>
      <c r="J21" s="154"/>
      <c r="K21" s="154"/>
      <c r="L21" s="154"/>
      <c r="M21" s="52" t="str">
        <f>IF($I$11=$A$54,"","DF")</f>
        <v>DF</v>
      </c>
      <c r="N21" s="53">
        <v>1.2E-2</v>
      </c>
      <c r="O21" s="54" t="s">
        <v>49</v>
      </c>
      <c r="P21" s="55">
        <f>VLOOKUP(CONCATENATE(I$11,"-",M21),$C$1:$G$44,3,FALSE)</f>
        <v>5.8999999999999999E-3</v>
      </c>
      <c r="Q21" s="55">
        <f>VLOOKUP(CONCATENATE(I$11,"-",M21),$C$1:$G$44,4,FALSE)</f>
        <v>1.23E-2</v>
      </c>
      <c r="R21" s="55">
        <f>VLOOKUP(CONCATENATE(I$11,"-",M21),$C$1:$G$44,5,FALSE)</f>
        <v>1.3899999999999999E-2</v>
      </c>
      <c r="T21" s="153"/>
      <c r="U21" s="153"/>
    </row>
    <row r="22" spans="1:31" ht="26.25" customHeight="1">
      <c r="A22" s="43" t="str">
        <f>A21</f>
        <v>Construção e Manutenção de Estações e Redes de Distribuição de Energia Elétrica</v>
      </c>
      <c r="B22" s="44" t="s">
        <v>27</v>
      </c>
      <c r="C22" s="43" t="str">
        <f t="shared" si="0"/>
        <v>Construção e Manutenção de Estações e Redes de Distribuição de Energia Elétrica-SG</v>
      </c>
      <c r="E22" s="45">
        <v>2.5000000000000001E-3</v>
      </c>
      <c r="F22" s="45">
        <v>5.1000000000000004E-3</v>
      </c>
      <c r="G22" s="45">
        <v>5.6000000000000008E-3</v>
      </c>
      <c r="I22" s="154" t="str">
        <f>IF($I$11=$A$54,"Margem bruta da empresa de consultoria","Lucro")</f>
        <v>Lucro</v>
      </c>
      <c r="J22" s="154"/>
      <c r="K22" s="154"/>
      <c r="L22" s="154"/>
      <c r="M22" s="52" t="str">
        <f>IF($I$11=$A$54,"K3","L")</f>
        <v>L</v>
      </c>
      <c r="N22" s="53">
        <v>8.5000000000000006E-2</v>
      </c>
      <c r="O22" s="54" t="s">
        <v>49</v>
      </c>
      <c r="P22" s="55">
        <f>VLOOKUP(CONCATENATE(I$11,"-",M22),$C$1:$G$44,3,FALSE)</f>
        <v>6.1600000000000002E-2</v>
      </c>
      <c r="Q22" s="55">
        <f>VLOOKUP(CONCATENATE(I$11,"-",M22),$C$1:$G$44,4,FALSE)</f>
        <v>7.400000000000001E-2</v>
      </c>
      <c r="R22" s="55">
        <f>VLOOKUP(CONCATENATE(I$11,"-",M22),$C$1:$G$44,5,FALSE)</f>
        <v>8.9600000000000013E-2</v>
      </c>
      <c r="T22" s="153"/>
      <c r="U22" s="153"/>
    </row>
    <row r="23" spans="1:31" ht="26.25" customHeight="1">
      <c r="A23" s="43" t="str">
        <f>A22</f>
        <v>Construção e Manutenção de Estações e Redes de Distribuição de Energia Elétrica</v>
      </c>
      <c r="B23" s="44" t="s">
        <v>28</v>
      </c>
      <c r="C23" s="43" t="str">
        <f t="shared" si="0"/>
        <v>Construção e Manutenção de Estações e Redes de Distribuição de Energia Elétrica-R</v>
      </c>
      <c r="E23" s="45">
        <v>0.01</v>
      </c>
      <c r="F23" s="45">
        <v>1.4800000000000001E-2</v>
      </c>
      <c r="G23" s="45">
        <v>1.9699999999999999E-2</v>
      </c>
      <c r="I23" s="174" t="s">
        <v>51</v>
      </c>
      <c r="J23" s="174"/>
      <c r="K23" s="174"/>
      <c r="L23" s="174"/>
      <c r="M23" s="52" t="s">
        <v>52</v>
      </c>
      <c r="N23" s="53">
        <v>3.6499999999999998E-2</v>
      </c>
      <c r="O23" s="54" t="s">
        <v>49</v>
      </c>
      <c r="P23" s="55">
        <v>3.6499999999999998E-2</v>
      </c>
      <c r="Q23" s="55">
        <v>3.6499999999999998E-2</v>
      </c>
      <c r="R23" s="55">
        <v>3.6499999999999998E-2</v>
      </c>
      <c r="T23" s="153"/>
      <c r="U23" s="153"/>
    </row>
    <row r="24" spans="1:31" ht="26.25" customHeight="1">
      <c r="A24" s="43" t="str">
        <f>A23</f>
        <v>Construção e Manutenção de Estações e Redes de Distribuição de Energia Elétrica</v>
      </c>
      <c r="B24" s="44" t="s">
        <v>30</v>
      </c>
      <c r="C24" s="43" t="str">
        <f t="shared" si="0"/>
        <v>Construção e Manutenção de Estações e Redes de Distribuição de Energia Elétrica-DF</v>
      </c>
      <c r="E24" s="45">
        <v>1.01E-2</v>
      </c>
      <c r="F24" s="45">
        <v>1.0700000000000001E-2</v>
      </c>
      <c r="G24" s="45">
        <v>1.11E-2</v>
      </c>
      <c r="I24" s="154" t="s">
        <v>53</v>
      </c>
      <c r="J24" s="154"/>
      <c r="K24" s="154"/>
      <c r="L24" s="154"/>
      <c r="M24" s="52" t="s">
        <v>54</v>
      </c>
      <c r="N24" s="55">
        <f>IF($I$11&lt;&gt;$A$58,Q14*Q13,0)</f>
        <v>1.2E-2</v>
      </c>
      <c r="O24" s="54" t="s">
        <v>49</v>
      </c>
      <c r="P24" s="55">
        <v>0</v>
      </c>
      <c r="Q24" s="55">
        <v>2.5000000000000001E-2</v>
      </c>
      <c r="R24" s="55">
        <v>0.05</v>
      </c>
      <c r="T24" s="153"/>
      <c r="U24" s="153"/>
    </row>
    <row r="25" spans="1:31" ht="26.25" customHeight="1">
      <c r="A25" s="43" t="str">
        <f>A24</f>
        <v>Construção e Manutenção de Estações e Redes de Distribuição de Energia Elétrica</v>
      </c>
      <c r="B25" s="44" t="s">
        <v>32</v>
      </c>
      <c r="C25" s="43" t="str">
        <f t="shared" si="0"/>
        <v>Construção e Manutenção de Estações e Redes de Distribuição de Energia Elétrica-L</v>
      </c>
      <c r="E25" s="45">
        <v>0.08</v>
      </c>
      <c r="F25" s="45">
        <v>8.3100000000000007E-2</v>
      </c>
      <c r="G25" s="45">
        <v>9.5100000000000004E-2</v>
      </c>
      <c r="I25" s="154" t="s">
        <v>55</v>
      </c>
      <c r="J25" s="154"/>
      <c r="K25" s="154"/>
      <c r="L25" s="154"/>
      <c r="M25" s="52" t="s">
        <v>56</v>
      </c>
      <c r="N25" s="55">
        <f>IF(AND($I$11&lt;&gt;$A$58,Q11="Sim"),4.5%,0%)</f>
        <v>0</v>
      </c>
      <c r="O25" s="54" t="str">
        <f>IF(AND(N25&gt;=P25, N25&lt;=R25), "OK", "Não OK")</f>
        <v>OK</v>
      </c>
      <c r="P25" s="56">
        <v>0</v>
      </c>
      <c r="Q25" s="56">
        <v>4.4999999999999998E-2</v>
      </c>
      <c r="R25" s="56">
        <v>4.4999999999999998E-2</v>
      </c>
    </row>
    <row r="26" spans="1:31" ht="30.75" customHeight="1">
      <c r="A26" s="43" t="str">
        <f>A25</f>
        <v>Construção e Manutenção de Estações e Redes de Distribuição de Energia Elétrica</v>
      </c>
      <c r="B26" s="48" t="s">
        <v>33</v>
      </c>
      <c r="C26" s="43" t="str">
        <f t="shared" si="0"/>
        <v>Construção e Manutenção de Estações e Redes de Distribuição de Energia Elétrica-BDI PAD</v>
      </c>
      <c r="E26" s="45">
        <v>0.24</v>
      </c>
      <c r="F26" s="45">
        <v>0.25840000000000002</v>
      </c>
      <c r="G26" s="45">
        <v>0.27860000000000001</v>
      </c>
      <c r="I26" s="154" t="s">
        <v>57</v>
      </c>
      <c r="J26" s="154"/>
      <c r="K26" s="154"/>
      <c r="L26" s="154"/>
      <c r="M26" s="57" t="s">
        <v>33</v>
      </c>
      <c r="N26" s="55">
        <f>IF($I$11=$A$53,0,ROUND((((1+N18+N19+N20)*(1+N21)*(1+N22)/(1-(N23+N24)))-1),4))</f>
        <v>0.23710000000000001</v>
      </c>
      <c r="O26" s="50" t="str">
        <f>IF(OR($I$11=$A$54,$I$11=$A$53,AND(N26&gt;=P26, N26&lt;=R26)), "OK", "FORA DO INTERVALO")</f>
        <v>OK</v>
      </c>
      <c r="P26" s="55">
        <f>IF($I$11=$A$53,0,VLOOKUP(CONCATENATE($I$11,"-",$M26),$C$1:$G$44,3,FALSE))</f>
        <v>0.2034</v>
      </c>
      <c r="Q26" s="55">
        <f>IF($I$11=$A$53,0,VLOOKUP(CONCATENATE($I$11,"-",$M26),$C$1:$G$44,4,FALSE))</f>
        <v>0.22120000000000001</v>
      </c>
      <c r="R26" s="55">
        <f>IF($I$11=$A$53,0,VLOOKUP(CONCATENATE($I$11,"-",$M26),$C$1:$G$44,5,FALSE))</f>
        <v>0.25</v>
      </c>
      <c r="T26" s="58"/>
      <c r="V26" s="51"/>
      <c r="W26" s="51"/>
      <c r="X26" s="51"/>
      <c r="Y26" s="51"/>
      <c r="Z26" s="51"/>
      <c r="AA26" s="51"/>
      <c r="AB26" s="51"/>
      <c r="AC26" s="51"/>
      <c r="AD26" s="51"/>
      <c r="AE26" s="51"/>
    </row>
    <row r="27" spans="1:31" ht="30" customHeight="1">
      <c r="A27" s="43" t="s">
        <v>58</v>
      </c>
      <c r="B27" s="44" t="s">
        <v>26</v>
      </c>
      <c r="C27" s="43" t="str">
        <f t="shared" si="0"/>
        <v>Obras Portuárias, Marítimas e Fluviais-AC</v>
      </c>
      <c r="E27" s="45">
        <v>0.04</v>
      </c>
      <c r="F27" s="45">
        <v>5.5199999999999999E-2</v>
      </c>
      <c r="G27" s="45">
        <v>7.85E-2</v>
      </c>
      <c r="I27" s="171" t="s">
        <v>59</v>
      </c>
      <c r="J27" s="171"/>
      <c r="K27" s="171"/>
      <c r="L27" s="171"/>
      <c r="M27" s="59" t="s">
        <v>60</v>
      </c>
      <c r="N27" s="60">
        <f>IF($I$11=$A$53,0,ROUND((((1+N18+N19+N20)*(1+N21)*(1+N22)/(1-(N23+N24+N25)))-1),4))</f>
        <v>0.23710000000000001</v>
      </c>
      <c r="O27" s="61" t="str">
        <f>IF(Q11&lt;&gt;"Sim","",O26)</f>
        <v/>
      </c>
      <c r="P27" s="172"/>
      <c r="Q27" s="172"/>
      <c r="R27" s="172"/>
      <c r="T27" s="58"/>
      <c r="V27" s="62" t="b">
        <f>AND(COUNTA(N18:N23)=6,O26&lt;&gt;"ok",NOT(V29))</f>
        <v>0</v>
      </c>
      <c r="W27" s="43" t="s">
        <v>61</v>
      </c>
    </row>
    <row r="28" spans="1:31" ht="7.5" customHeight="1">
      <c r="A28" s="43" t="str">
        <f>A27</f>
        <v>Obras Portuárias, Marítimas e Fluviais</v>
      </c>
      <c r="B28" s="44" t="s">
        <v>27</v>
      </c>
      <c r="C28" s="43" t="str">
        <f t="shared" si="0"/>
        <v>Obras Portuárias, Marítimas e Fluviais-SG</v>
      </c>
      <c r="E28" s="45">
        <v>8.1000000000000013E-3</v>
      </c>
      <c r="F28" s="45">
        <v>1.2199999999999999E-2</v>
      </c>
      <c r="G28" s="45">
        <v>1.9900000000000001E-2</v>
      </c>
      <c r="V28" s="62"/>
    </row>
    <row r="29" spans="1:31" ht="21.75" customHeight="1">
      <c r="A29" s="43" t="str">
        <f>A28</f>
        <v>Obras Portuárias, Marítimas e Fluviais</v>
      </c>
      <c r="B29" s="44" t="s">
        <v>28</v>
      </c>
      <c r="C29" s="43" t="str">
        <f t="shared" si="0"/>
        <v>Obras Portuárias, Marítimas e Fluviais-R</v>
      </c>
      <c r="E29" s="45">
        <v>1.46E-2</v>
      </c>
      <c r="F29" s="45">
        <v>2.3199999999999998E-2</v>
      </c>
      <c r="G29" s="45">
        <v>3.1600000000000003E-2</v>
      </c>
      <c r="I29" s="63" t="str">
        <f>IF(V29,"X","")</f>
        <v/>
      </c>
      <c r="J29" s="170" t="s">
        <v>62</v>
      </c>
      <c r="K29" s="170"/>
      <c r="L29" s="170"/>
      <c r="M29" s="170"/>
      <c r="N29" s="170"/>
      <c r="O29" s="170"/>
      <c r="P29" s="170"/>
      <c r="Q29" s="170"/>
      <c r="R29" s="170"/>
      <c r="V29" s="62" t="b">
        <v>0</v>
      </c>
      <c r="W29" s="43" t="s">
        <v>63</v>
      </c>
    </row>
    <row r="30" spans="1:31" ht="7.5" customHeight="1">
      <c r="B30" s="44"/>
      <c r="E30" s="45"/>
      <c r="F30" s="45"/>
      <c r="G30" s="45"/>
      <c r="V30" s="62"/>
    </row>
    <row r="31" spans="1:31" ht="18.75" customHeight="1">
      <c r="B31" s="44"/>
      <c r="E31" s="45"/>
      <c r="F31" s="45"/>
      <c r="G31" s="45"/>
      <c r="I31" s="161" t="s">
        <v>64</v>
      </c>
      <c r="J31" s="161"/>
      <c r="K31" s="161"/>
      <c r="L31" s="161"/>
      <c r="M31" s="161"/>
      <c r="N31" s="161"/>
      <c r="O31" s="161"/>
      <c r="P31" s="161"/>
      <c r="Q31" s="161"/>
      <c r="R31" s="161"/>
    </row>
    <row r="32" spans="1:31" ht="30" customHeight="1">
      <c r="A32" s="43" t="str">
        <f>A29</f>
        <v>Obras Portuárias, Marítimas e Fluviais</v>
      </c>
      <c r="B32" s="44" t="s">
        <v>30</v>
      </c>
      <c r="C32" s="43" t="str">
        <f t="shared" si="0"/>
        <v>Obras Portuárias, Marítimas e Fluviais-DF</v>
      </c>
      <c r="E32" s="45">
        <v>9.3999999999999986E-3</v>
      </c>
      <c r="F32" s="45">
        <v>1.0200000000000001E-2</v>
      </c>
      <c r="G32" s="45">
        <v>1.3300000000000001E-2</v>
      </c>
      <c r="I32" s="64"/>
      <c r="J32" s="64"/>
      <c r="K32" s="64"/>
      <c r="L32" s="175" t="str">
        <f>IF(Q11="Sim","BDI.DES =","BDI.PAD =")</f>
        <v>BDI.PAD =</v>
      </c>
      <c r="M32" s="176" t="str">
        <f>IF($I$11=$A$54,"(1+K1+K2)*(1+K3)","(1+AC + S + R + G)*(1 + DF)*(1+L)")</f>
        <v>(1+AC + S + R + G)*(1 + DF)*(1+L)</v>
      </c>
      <c r="N32" s="176"/>
      <c r="O32" s="176"/>
      <c r="P32" s="155" t="s">
        <v>65</v>
      </c>
      <c r="Q32" s="64"/>
      <c r="R32" s="64"/>
    </row>
    <row r="33" spans="1:18" ht="27" customHeight="1">
      <c r="A33" s="43" t="str">
        <f>A32</f>
        <v>Obras Portuárias, Marítimas e Fluviais</v>
      </c>
      <c r="B33" s="44" t="s">
        <v>32</v>
      </c>
      <c r="C33" s="43" t="str">
        <f t="shared" si="0"/>
        <v>Obras Portuárias, Marítimas e Fluviais-L</v>
      </c>
      <c r="E33" s="45">
        <v>7.1399999999999991E-2</v>
      </c>
      <c r="F33" s="45">
        <v>8.4000000000000005E-2</v>
      </c>
      <c r="G33" s="45">
        <v>0.1043</v>
      </c>
      <c r="I33" s="64"/>
      <c r="J33" s="64"/>
      <c r="K33" s="64"/>
      <c r="L33" s="175"/>
      <c r="M33" s="157" t="str">
        <f>IF(Q11="Sim","(1-CP-ISS-CRPB)","(1-CP-ISS)")</f>
        <v>(1-CP-ISS)</v>
      </c>
      <c r="N33" s="157"/>
      <c r="O33" s="157"/>
      <c r="P33" s="156"/>
      <c r="Q33" s="64"/>
      <c r="R33" s="64"/>
    </row>
    <row r="34" spans="1:18" ht="7.5" customHeight="1">
      <c r="A34" s="43" t="str">
        <f>A33</f>
        <v>Obras Portuárias, Marítimas e Fluviais</v>
      </c>
      <c r="B34" s="48" t="s">
        <v>33</v>
      </c>
      <c r="C34" s="43" t="str">
        <f t="shared" si="0"/>
        <v>Obras Portuárias, Marítimas e Fluviais-BDI PAD</v>
      </c>
      <c r="E34" s="45">
        <v>0.22800000000000001</v>
      </c>
      <c r="F34" s="45">
        <v>0.27479999999999999</v>
      </c>
      <c r="G34" s="45">
        <v>0.3095</v>
      </c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spans="1:18" ht="45" customHeight="1">
      <c r="B35" s="48"/>
      <c r="E35" s="45"/>
      <c r="F35" s="45"/>
      <c r="G35" s="45"/>
      <c r="I35" s="164" t="str">
        <f>CONCATENATE("Declaro para os devidos fins que, conforme legislação tributária municipal, a base de cálculo para ",I11,", é de ",Q13*100,"%, com a respectiva alíquota de ",Q14*100,"%.")</f>
        <v>Declaro para os devidos fins que, conforme legislação tributária municipal, a base de cálculo para Construção e Reforma de Edifícios, é de 40%, com a respectiva alíquota de 3%.</v>
      </c>
      <c r="J35" s="164"/>
      <c r="K35" s="164"/>
      <c r="L35" s="164"/>
      <c r="M35" s="164"/>
      <c r="N35" s="164"/>
      <c r="O35" s="164"/>
      <c r="P35" s="164"/>
      <c r="Q35" s="164"/>
      <c r="R35" s="164"/>
    </row>
    <row r="36" spans="1:18" ht="11.25" customHeight="1">
      <c r="B36" s="48"/>
      <c r="E36" s="45"/>
      <c r="F36" s="45"/>
      <c r="G36" s="45"/>
    </row>
    <row r="37" spans="1:18" ht="52.5" customHeight="1">
      <c r="B37" s="48"/>
      <c r="E37" s="45"/>
      <c r="F37" s="45"/>
      <c r="G37" s="45"/>
      <c r="I37" s="164" t="str">
        <f>CONCATENATE("Declaro para os devidos fins que o regime de Contribuição Previdenciária sobre a Receita Bruta adotado para elaboração do orçamento foi ",IF(Q11="Sim","COM","SEM")," Desoneração, e que esta é a alternativa mais adequada para a Administração Pública.")</f>
        <v>Declaro para os devidos fins que o regime de Contribuição Previdenciária sobre a Receita Bruta adotado para elaboração do orçamento foi SEM Desoneração, e que esta é a alternativa mais adequada para a Administração Pública.</v>
      </c>
      <c r="J37" s="164"/>
      <c r="K37" s="164"/>
      <c r="L37" s="164"/>
      <c r="M37" s="164"/>
      <c r="N37" s="164"/>
      <c r="O37" s="164"/>
      <c r="P37" s="164"/>
      <c r="Q37" s="164"/>
      <c r="R37" s="164"/>
    </row>
    <row r="38" spans="1:18" ht="18" customHeight="1">
      <c r="A38" s="43" t="s">
        <v>66</v>
      </c>
      <c r="B38" s="44" t="s">
        <v>26</v>
      </c>
      <c r="C38" s="43" t="str">
        <f t="shared" si="0"/>
        <v>Fornecimento de Materiais e Equipamentos (aquisição indireta - em conjunto com licitação de obras)-AC</v>
      </c>
      <c r="E38" s="45">
        <v>1.4999999999999999E-2</v>
      </c>
      <c r="F38" s="45">
        <v>3.4500000000000003E-2</v>
      </c>
      <c r="G38" s="45">
        <v>4.4900000000000002E-2</v>
      </c>
    </row>
    <row r="39" spans="1:18" ht="13.2">
      <c r="A39" s="43" t="str">
        <f>A38</f>
        <v>Fornecimento de Materiais e Equipamentos (aquisição indireta - em conjunto com licitação de obras)</v>
      </c>
      <c r="B39" s="44" t="s">
        <v>27</v>
      </c>
      <c r="C39" s="43" t="str">
        <f t="shared" si="0"/>
        <v>Fornecimento de Materiais e Equipamentos (aquisição indireta - em conjunto com licitação de obras)-SG</v>
      </c>
      <c r="E39" s="45">
        <v>3.0000000000000001E-3</v>
      </c>
      <c r="F39" s="45">
        <v>4.7999999999999996E-3</v>
      </c>
      <c r="G39" s="45">
        <v>8.199999999999999E-3</v>
      </c>
      <c r="I39" s="43" t="s">
        <v>67</v>
      </c>
    </row>
    <row r="40" spans="1:18" ht="42.75" customHeight="1">
      <c r="A40" s="43" t="str">
        <f>A39</f>
        <v>Fornecimento de Materiais e Equipamentos (aquisição indireta - em conjunto com licitação de obras)</v>
      </c>
      <c r="B40" s="44" t="s">
        <v>28</v>
      </c>
      <c r="C40" s="43" t="str">
        <f t="shared" si="0"/>
        <v>Fornecimento de Materiais e Equipamentos (aquisição indireta - em conjunto com licitação de obras)-R</v>
      </c>
      <c r="E40" s="45">
        <v>5.6000000000000008E-3</v>
      </c>
      <c r="F40" s="45">
        <v>8.5000000000000006E-3</v>
      </c>
      <c r="G40" s="45">
        <v>8.8999999999999999E-3</v>
      </c>
      <c r="I40" s="165"/>
      <c r="J40" s="166"/>
      <c r="K40" s="166"/>
      <c r="L40" s="166"/>
      <c r="M40" s="166"/>
      <c r="N40" s="166"/>
      <c r="O40" s="166"/>
      <c r="P40" s="166"/>
      <c r="Q40" s="166"/>
      <c r="R40" s="167"/>
    </row>
    <row r="41" spans="1:18" ht="16.5" customHeight="1">
      <c r="A41" s="43" t="str">
        <f>A40</f>
        <v>Fornecimento de Materiais e Equipamentos (aquisição indireta - em conjunto com licitação de obras)</v>
      </c>
      <c r="B41" s="44" t="s">
        <v>30</v>
      </c>
      <c r="C41" s="43" t="str">
        <f t="shared" si="0"/>
        <v>Fornecimento de Materiais e Equipamentos (aquisição indireta - em conjunto com licitação de obras)-DF</v>
      </c>
      <c r="E41" s="45">
        <v>8.5000000000000006E-3</v>
      </c>
      <c r="F41" s="45">
        <v>8.5000000000000006E-3</v>
      </c>
      <c r="G41" s="45">
        <v>1.11E-2</v>
      </c>
    </row>
    <row r="42" spans="1:18" ht="13.2">
      <c r="A42" s="43" t="str">
        <f>A41</f>
        <v>Fornecimento de Materiais e Equipamentos (aquisição indireta - em conjunto com licitação de obras)</v>
      </c>
      <c r="B42" s="44" t="s">
        <v>32</v>
      </c>
      <c r="C42" s="43" t="str">
        <f t="shared" si="0"/>
        <v>Fornecimento de Materiais e Equipamentos (aquisição indireta - em conjunto com licitação de obras)-L</v>
      </c>
      <c r="E42" s="45">
        <v>3.5000000000000003E-2</v>
      </c>
      <c r="F42" s="45">
        <v>5.1100000000000007E-2</v>
      </c>
      <c r="G42" s="45">
        <v>6.2199999999999998E-2</v>
      </c>
      <c r="I42" s="168" t="s">
        <v>68</v>
      </c>
      <c r="J42" s="168"/>
      <c r="K42" s="168"/>
      <c r="L42" s="168"/>
      <c r="O42" s="169">
        <f ca="1">CFF!C32</f>
        <v>46162</v>
      </c>
      <c r="P42" s="169"/>
      <c r="Q42" s="169"/>
      <c r="R42" s="169"/>
    </row>
    <row r="43" spans="1:18" ht="15" customHeight="1">
      <c r="A43" s="43" t="str">
        <f>A42</f>
        <v>Fornecimento de Materiais e Equipamentos (aquisição indireta - em conjunto com licitação de obras)</v>
      </c>
      <c r="B43" s="48" t="s">
        <v>33</v>
      </c>
      <c r="C43" s="43" t="str">
        <f t="shared" si="0"/>
        <v>Fornecimento de Materiais e Equipamentos (aquisição indireta - em conjunto com licitação de obras)-BDI PAD</v>
      </c>
      <c r="E43" s="45">
        <v>0.111</v>
      </c>
      <c r="F43" s="45">
        <v>0.14019999999999999</v>
      </c>
      <c r="G43" s="45">
        <v>0.16800000000000001</v>
      </c>
      <c r="I43" s="162" t="s">
        <v>69</v>
      </c>
      <c r="J43" s="162"/>
      <c r="K43" s="162"/>
      <c r="L43" s="162"/>
      <c r="N43" s="66"/>
      <c r="O43" s="67" t="s">
        <v>70</v>
      </c>
      <c r="P43" s="68"/>
      <c r="Q43" s="68"/>
      <c r="R43" s="68"/>
    </row>
    <row r="44" spans="1:18" ht="13.2">
      <c r="A44" s="43" t="s">
        <v>71</v>
      </c>
      <c r="B44" s="44" t="s">
        <v>72</v>
      </c>
      <c r="C44" s="43" t="str">
        <f t="shared" si="0"/>
        <v>Estudos e Projetos, Planos e Gerenciamento e outros correlatos-K1</v>
      </c>
      <c r="E44" s="45" t="s">
        <v>49</v>
      </c>
      <c r="F44" s="45" t="s">
        <v>49</v>
      </c>
      <c r="G44" s="45" t="s">
        <v>49</v>
      </c>
    </row>
    <row r="45" spans="1:18" ht="13.2">
      <c r="I45" s="49"/>
      <c r="J45" s="163">
        <v>0</v>
      </c>
      <c r="K45" s="163"/>
      <c r="L45" s="163"/>
    </row>
    <row r="46" spans="1:18" ht="13.2"/>
    <row r="47" spans="1:18" ht="13.2" hidden="1">
      <c r="A47" s="43" t="s">
        <v>25</v>
      </c>
    </row>
    <row r="48" spans="1:18" ht="13.2" hidden="1">
      <c r="A48" s="43" t="s">
        <v>35</v>
      </c>
    </row>
    <row r="49" spans="1:7" ht="13.2" hidden="1">
      <c r="A49" s="43" t="s">
        <v>40</v>
      </c>
    </row>
    <row r="50" spans="1:7" ht="13.2" hidden="1">
      <c r="A50" s="43" t="s">
        <v>50</v>
      </c>
    </row>
    <row r="51" spans="1:7" ht="13.2" hidden="1">
      <c r="A51" s="43" t="s">
        <v>58</v>
      </c>
    </row>
    <row r="52" spans="1:7" ht="13.2" hidden="1">
      <c r="A52" s="43" t="s">
        <v>66</v>
      </c>
    </row>
    <row r="53" spans="1:7" ht="13.2" hidden="1">
      <c r="A53" s="43" t="s">
        <v>73</v>
      </c>
    </row>
    <row r="54" spans="1:7" ht="13.2" hidden="1">
      <c r="A54" s="43" t="s">
        <v>71</v>
      </c>
    </row>
    <row r="55" spans="1:7" ht="13.8" hidden="1">
      <c r="A55" s="69"/>
      <c r="B55" s="70"/>
      <c r="C55" s="70"/>
      <c r="D55" s="70"/>
      <c r="E55" s="70"/>
      <c r="F55" s="70"/>
      <c r="G55" s="70"/>
    </row>
    <row r="56" spans="1:7" ht="13.2" hidden="1"/>
    <row r="57" spans="1:7" ht="12.75" customHeight="1"/>
    <row r="58" spans="1:7" ht="12.75" customHeight="1"/>
    <row r="59" spans="1:7" ht="12.75" customHeight="1"/>
    <row r="60" spans="1:7" ht="12.75" customHeight="1"/>
    <row r="61" spans="1:7" ht="12.75" customHeight="1"/>
    <row r="62" spans="1:7" ht="12.75" customHeight="1"/>
  </sheetData>
  <mergeCells count="48">
    <mergeCell ref="I1:R1"/>
    <mergeCell ref="I2:R2"/>
    <mergeCell ref="I23:L23"/>
    <mergeCell ref="I24:L24"/>
    <mergeCell ref="L32:L33"/>
    <mergeCell ref="M32:O32"/>
    <mergeCell ref="I43:L43"/>
    <mergeCell ref="J45:L45"/>
    <mergeCell ref="I35:R35"/>
    <mergeCell ref="I37:R37"/>
    <mergeCell ref="I40:R40"/>
    <mergeCell ref="I42:L42"/>
    <mergeCell ref="O42:R42"/>
    <mergeCell ref="P32:P33"/>
    <mergeCell ref="M33:O33"/>
    <mergeCell ref="I25:L25"/>
    <mergeCell ref="I26:L26"/>
    <mergeCell ref="Q11:R11"/>
    <mergeCell ref="I14:P14"/>
    <mergeCell ref="Q14:R14"/>
    <mergeCell ref="R16:R17"/>
    <mergeCell ref="I16:L17"/>
    <mergeCell ref="I31:R31"/>
    <mergeCell ref="J29:R29"/>
    <mergeCell ref="I27:L27"/>
    <mergeCell ref="P27:R27"/>
    <mergeCell ref="T16:U24"/>
    <mergeCell ref="I18:L18"/>
    <mergeCell ref="I19:L19"/>
    <mergeCell ref="I20:L20"/>
    <mergeCell ref="I21:L21"/>
    <mergeCell ref="I22:L22"/>
    <mergeCell ref="Q10:R10"/>
    <mergeCell ref="Q16:Q17"/>
    <mergeCell ref="I4:J4"/>
    <mergeCell ref="K4:R4"/>
    <mergeCell ref="I5:J5"/>
    <mergeCell ref="K5:R5"/>
    <mergeCell ref="I13:P13"/>
    <mergeCell ref="Q13:R13"/>
    <mergeCell ref="I7:R7"/>
    <mergeCell ref="I8:R8"/>
    <mergeCell ref="I10:P10"/>
    <mergeCell ref="M16:M17"/>
    <mergeCell ref="N16:N17"/>
    <mergeCell ref="O16:O17"/>
    <mergeCell ref="P16:P17"/>
    <mergeCell ref="I11:P11"/>
  </mergeCells>
  <phoneticPr fontId="2" type="noConversion"/>
  <conditionalFormatting sqref="P18:R26">
    <cfRule type="expression" dxfId="8" priority="1" stopIfTrue="1">
      <formula>$I$11=$A$53</formula>
    </cfRule>
  </conditionalFormatting>
  <conditionalFormatting sqref="O18:O27">
    <cfRule type="expression" dxfId="7" priority="2" stopIfTrue="1">
      <formula>AND(O18&lt;&gt;"OK",O18&lt;&gt;"-",O18&lt;&gt;"")</formula>
    </cfRule>
    <cfRule type="cellIs" dxfId="6" priority="3" stopIfTrue="1" operator="equal">
      <formula>"OK"</formula>
    </cfRule>
  </conditionalFormatting>
  <conditionalFormatting sqref="I26:N26">
    <cfRule type="expression" dxfId="5" priority="4" stopIfTrue="1">
      <formula>$Q$11="Não"</formula>
    </cfRule>
  </conditionalFormatting>
  <conditionalFormatting sqref="I27:N27">
    <cfRule type="expression" dxfId="4" priority="5" stopIfTrue="1">
      <formula>$Q$11="sim"</formula>
    </cfRule>
  </conditionalFormatting>
  <conditionalFormatting sqref="I29:R29">
    <cfRule type="expression" dxfId="3" priority="6" stopIfTrue="1">
      <formula>AND(NOT($V$27),NOT($V$29))</formula>
    </cfRule>
  </conditionalFormatting>
  <dataValidations count="6">
    <dataValidation type="decimal" allowBlank="1" showInputMessage="1" showErrorMessage="1" errorTitle="Erro de valores" error="Digite um valor entre 0% e 100%" sqref="N18:N23">
      <formula1>0</formula1>
      <formula2>1</formula2>
    </dataValidation>
    <dataValidation type="decimal" operator="greaterThanOrEqual" allowBlank="1" showInputMessage="1" showErrorMessage="1" errorTitle="Valor não permitido" error="Digite um percentual entre 0% e 100%." promptTitle="Valores comuns:" prompt="Normalmente entre 2 e 5%." sqref="Q14:R14">
      <formula1>0</formula1>
    </dataValidation>
    <dataValidation type="decimal" allowBlank="1" showInputMessage="1" showErrorMessage="1" errorTitle="Valor não permitido" error="Digite um percentual entre 0% e 100%." promptTitle="Valores admissíveis:" prompt="Insira valores entre 0 e 100%." sqref="Q13:R13">
      <formula1>0</formula1>
      <formula2>1</formula2>
    </dataValidation>
    <dataValidation type="decimal" allowBlank="1" showInputMessage="1" showErrorMessage="1" errorTitle="Erro de valores" error="Digite um valor maior do que 0." sqref="N24">
      <formula1>0</formula1>
      <formula2>1</formula2>
    </dataValidation>
    <dataValidation operator="greaterThanOrEqual" allowBlank="1" showInputMessage="1" showErrorMessage="1" errorTitle="Erro de valores" error="Digite um valor igual a 0% ou 2%." sqref="N25"/>
    <dataValidation type="list" allowBlank="1" showInputMessage="1" showErrorMessage="1" sqref="I11:P11">
      <formula1>$A$47:$A$54</formula1>
    </dataValidation>
  </dataValidations>
  <pageMargins left="0.59055118110236227" right="0.39370078740157483" top="0.98425196850393704" bottom="0.78740157480314965" header="0.11811023622047245" footer="0.51181102362204722"/>
  <pageSetup paperSize="9" scale="84" orientation="portrait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2"/>
  </sheetPr>
  <dimension ref="A1:Q44"/>
  <sheetViews>
    <sheetView showZeros="0" workbookViewId="0">
      <selection activeCell="F33" sqref="F33"/>
    </sheetView>
  </sheetViews>
  <sheetFormatPr defaultColWidth="7.6640625" defaultRowHeight="13.2"/>
  <cols>
    <col min="1" max="1" width="9.33203125" style="22" customWidth="1"/>
    <col min="2" max="2" width="66.6640625" style="23" customWidth="1"/>
    <col min="3" max="3" width="12.6640625" style="24" customWidth="1"/>
    <col min="4" max="4" width="7.6640625" style="24" customWidth="1"/>
    <col min="5" max="5" width="11.6640625" style="24" customWidth="1"/>
    <col min="6" max="6" width="7.6640625" style="24" customWidth="1"/>
    <col min="7" max="7" width="11.6640625" style="24" customWidth="1"/>
    <col min="8" max="8" width="7.6640625" style="24" customWidth="1"/>
    <col min="9" max="9" width="11.6640625" style="24" customWidth="1"/>
    <col min="10" max="10" width="7.6640625" style="24" customWidth="1"/>
    <col min="11" max="11" width="11.6640625" style="24" customWidth="1"/>
    <col min="12" max="12" width="7.6640625" style="24" customWidth="1"/>
    <col min="13" max="13" width="11.6640625" style="24" customWidth="1"/>
    <col min="14" max="14" width="11.33203125" style="22" customWidth="1"/>
    <col min="15" max="15" width="12.5546875" style="22" customWidth="1"/>
    <col min="16" max="16" width="9.33203125" style="22" customWidth="1"/>
    <col min="17" max="17" width="9.88671875" style="22" bestFit="1" customWidth="1"/>
    <col min="18" max="16384" width="7.6640625" style="22"/>
  </cols>
  <sheetData>
    <row r="1" spans="1:17">
      <c r="N1" s="24"/>
      <c r="O1" s="25"/>
    </row>
    <row r="2" spans="1:17" s="27" customFormat="1" ht="18" customHeight="1">
      <c r="A2" s="181" t="s">
        <v>15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3"/>
      <c r="N2" s="26"/>
      <c r="O2" s="26"/>
    </row>
    <row r="3" spans="1:17">
      <c r="N3" s="24"/>
      <c r="O3" s="25"/>
    </row>
    <row r="4" spans="1:17" ht="29.25" customHeight="1">
      <c r="A4" s="129" t="s">
        <v>3</v>
      </c>
      <c r="B4" s="124" t="str">
        <f>PO!C1</f>
        <v xml:space="preserve">FINALIZAÇÃO DA CONSTRUÇÃO DA CRECHE PRÓ-INFANCIA TIPO II 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5"/>
      <c r="N4" s="28"/>
      <c r="O4" s="29"/>
    </row>
    <row r="5" spans="1:17" ht="15" customHeight="1">
      <c r="A5" s="130" t="s">
        <v>5</v>
      </c>
      <c r="B5" s="30" t="str">
        <f>PO!C2</f>
        <v>RUA MACEIÓ ESQ. RIO DE JANEIRO, S/N, VILA NOVA.</v>
      </c>
      <c r="C5" s="30"/>
      <c r="D5" s="30"/>
      <c r="E5" s="30"/>
      <c r="F5" s="30"/>
      <c r="G5" s="30"/>
      <c r="H5" s="30"/>
      <c r="I5" s="30"/>
      <c r="J5" s="30"/>
      <c r="K5" s="30"/>
      <c r="L5" s="31"/>
      <c r="M5" s="96"/>
      <c r="N5" s="28"/>
      <c r="O5" s="29"/>
    </row>
    <row r="6" spans="1:17" ht="15" customHeight="1">
      <c r="A6" s="131" t="s">
        <v>6</v>
      </c>
      <c r="B6" s="71" t="str">
        <f>[4]PO!C3</f>
        <v>Rosário do Sul - RS</v>
      </c>
      <c r="C6" s="72"/>
      <c r="D6" s="72"/>
      <c r="E6" s="72"/>
      <c r="F6" s="72"/>
      <c r="G6" s="72"/>
      <c r="H6" s="72"/>
      <c r="I6" s="72"/>
      <c r="J6" s="72"/>
      <c r="K6" s="72"/>
      <c r="L6" s="73"/>
      <c r="M6" s="97"/>
      <c r="N6" s="32"/>
      <c r="O6" s="33"/>
    </row>
    <row r="7" spans="1:17">
      <c r="A7" s="31"/>
      <c r="B7" s="34"/>
      <c r="C7" s="32"/>
      <c r="D7" s="184"/>
      <c r="E7" s="184"/>
      <c r="F7" s="184"/>
      <c r="G7" s="184"/>
      <c r="H7" s="184"/>
      <c r="I7" s="184"/>
      <c r="J7" s="184"/>
      <c r="K7" s="184"/>
      <c r="L7" s="184"/>
      <c r="M7" s="184"/>
    </row>
    <row r="8" spans="1:17" ht="15.75" customHeight="1">
      <c r="A8" s="185" t="s">
        <v>0</v>
      </c>
      <c r="B8" s="185" t="s">
        <v>10</v>
      </c>
      <c r="C8" s="75" t="s">
        <v>16</v>
      </c>
      <c r="D8" s="177" t="s">
        <v>17</v>
      </c>
      <c r="E8" s="178"/>
      <c r="F8" s="177" t="s">
        <v>18</v>
      </c>
      <c r="G8" s="178"/>
      <c r="H8" s="177" t="s">
        <v>368</v>
      </c>
      <c r="I8" s="178"/>
      <c r="J8" s="177" t="s">
        <v>369</v>
      </c>
      <c r="K8" s="178"/>
      <c r="L8" s="177" t="s">
        <v>370</v>
      </c>
      <c r="M8" s="178"/>
      <c r="N8" s="179" t="s">
        <v>19</v>
      </c>
      <c r="O8" s="179"/>
    </row>
    <row r="9" spans="1:17">
      <c r="A9" s="186"/>
      <c r="B9" s="186"/>
      <c r="C9" s="35" t="s">
        <v>20</v>
      </c>
      <c r="D9" s="36" t="s">
        <v>21</v>
      </c>
      <c r="E9" s="37" t="s">
        <v>22</v>
      </c>
      <c r="F9" s="37" t="s">
        <v>21</v>
      </c>
      <c r="G9" s="37" t="s">
        <v>22</v>
      </c>
      <c r="H9" s="37" t="s">
        <v>21</v>
      </c>
      <c r="I9" s="37" t="s">
        <v>22</v>
      </c>
      <c r="J9" s="37" t="s">
        <v>21</v>
      </c>
      <c r="K9" s="37" t="s">
        <v>22</v>
      </c>
      <c r="L9" s="37" t="s">
        <v>21</v>
      </c>
      <c r="M9" s="37" t="s">
        <v>22</v>
      </c>
      <c r="N9" s="37" t="s">
        <v>21</v>
      </c>
      <c r="O9" s="78" t="s">
        <v>23</v>
      </c>
    </row>
    <row r="10" spans="1:17" ht="15.9" customHeight="1">
      <c r="A10" s="127" t="s">
        <v>13</v>
      </c>
      <c r="B10" s="98" t="s">
        <v>337</v>
      </c>
      <c r="C10" s="38" t="e">
        <f>#REF!</f>
        <v>#REF!</v>
      </c>
      <c r="D10" s="79">
        <v>100</v>
      </c>
      <c r="E10" s="79" t="e">
        <f>$C10*D10%</f>
        <v>#REF!</v>
      </c>
      <c r="F10" s="79"/>
      <c r="G10" s="79" t="e">
        <f>$C10*F10%</f>
        <v>#REF!</v>
      </c>
      <c r="H10" s="79"/>
      <c r="I10" s="79" t="e">
        <f t="shared" ref="I10:I28" si="0">$C10*H10%</f>
        <v>#REF!</v>
      </c>
      <c r="J10" s="79"/>
      <c r="K10" s="79" t="e">
        <f t="shared" ref="K10:K28" si="1">$C10*J10%</f>
        <v>#REF!</v>
      </c>
      <c r="L10" s="79"/>
      <c r="M10" s="79" t="e">
        <f t="shared" ref="M10:M28" si="2">$C10*L10%</f>
        <v>#REF!</v>
      </c>
      <c r="N10" s="99">
        <f>TRUNC(SUMIF(D$9:M$9,"%",D10:M10),2)</f>
        <v>100</v>
      </c>
      <c r="O10" s="79" t="e">
        <f>TRUNC(SUMIF(D$9:M$9,"VALOR",D10:M10),2)</f>
        <v>#REF!</v>
      </c>
      <c r="Q10" s="39"/>
    </row>
    <row r="11" spans="1:17" ht="15.9" customHeight="1">
      <c r="A11" s="128" t="s">
        <v>14</v>
      </c>
      <c r="B11" s="126" t="s">
        <v>338</v>
      </c>
      <c r="C11" s="38" t="e">
        <f>#REF!</f>
        <v>#REF!</v>
      </c>
      <c r="D11" s="80">
        <v>100</v>
      </c>
      <c r="E11" s="80" t="e">
        <f t="shared" ref="E11:G28" si="3">$C11*D11%</f>
        <v>#REF!</v>
      </c>
      <c r="F11" s="80"/>
      <c r="G11" s="80" t="e">
        <f t="shared" si="3"/>
        <v>#REF!</v>
      </c>
      <c r="H11" s="80"/>
      <c r="I11" s="80" t="e">
        <f t="shared" si="0"/>
        <v>#REF!</v>
      </c>
      <c r="J11" s="80"/>
      <c r="K11" s="80" t="e">
        <f t="shared" si="1"/>
        <v>#REF!</v>
      </c>
      <c r="L11" s="80"/>
      <c r="M11" s="80" t="e">
        <f t="shared" si="2"/>
        <v>#REF!</v>
      </c>
      <c r="N11" s="74">
        <f>TRUNC(SUMIF(D$9:M$9,"%",D11:M11),2)</f>
        <v>100</v>
      </c>
      <c r="O11" s="80" t="e">
        <f>TRUNC(SUMIF(D$9:M$9,"VALOR",D11:M11),2)</f>
        <v>#REF!</v>
      </c>
      <c r="Q11" s="39"/>
    </row>
    <row r="12" spans="1:17" ht="15.9" customHeight="1">
      <c r="A12" s="128" t="s">
        <v>74</v>
      </c>
      <c r="B12" s="126" t="s">
        <v>339</v>
      </c>
      <c r="C12" s="38" t="e">
        <f>#REF!</f>
        <v>#REF!</v>
      </c>
      <c r="D12" s="80"/>
      <c r="E12" s="80" t="e">
        <f t="shared" si="3"/>
        <v>#REF!</v>
      </c>
      <c r="F12" s="80">
        <v>100</v>
      </c>
      <c r="G12" s="80" t="e">
        <f t="shared" si="3"/>
        <v>#REF!</v>
      </c>
      <c r="H12" s="80"/>
      <c r="I12" s="80" t="e">
        <f t="shared" si="0"/>
        <v>#REF!</v>
      </c>
      <c r="J12" s="80"/>
      <c r="K12" s="80" t="e">
        <f t="shared" si="1"/>
        <v>#REF!</v>
      </c>
      <c r="L12" s="80"/>
      <c r="M12" s="80" t="e">
        <f t="shared" si="2"/>
        <v>#REF!</v>
      </c>
      <c r="N12" s="74">
        <f t="shared" ref="N12:N28" si="4">TRUNC(SUMIF(D$9:M$9,"%",D12:M12),2)</f>
        <v>100</v>
      </c>
      <c r="O12" s="80" t="e">
        <f t="shared" ref="O12:O28" si="5">TRUNC(SUMIF(D$9:M$9,"VALOR",D12:M12),2)</f>
        <v>#REF!</v>
      </c>
      <c r="Q12" s="39"/>
    </row>
    <row r="13" spans="1:17" ht="15.9" customHeight="1">
      <c r="A13" s="128" t="s">
        <v>76</v>
      </c>
      <c r="B13" s="126" t="s">
        <v>340</v>
      </c>
      <c r="C13" s="38" t="e">
        <f>#REF!</f>
        <v>#REF!</v>
      </c>
      <c r="D13" s="80"/>
      <c r="E13" s="80" t="e">
        <f t="shared" si="3"/>
        <v>#REF!</v>
      </c>
      <c r="F13" s="80"/>
      <c r="G13" s="80" t="e">
        <f t="shared" si="3"/>
        <v>#REF!</v>
      </c>
      <c r="H13" s="80">
        <v>100</v>
      </c>
      <c r="I13" s="80" t="e">
        <f t="shared" si="0"/>
        <v>#REF!</v>
      </c>
      <c r="J13" s="80"/>
      <c r="K13" s="80" t="e">
        <f t="shared" si="1"/>
        <v>#REF!</v>
      </c>
      <c r="L13" s="80"/>
      <c r="M13" s="80" t="e">
        <f t="shared" si="2"/>
        <v>#REF!</v>
      </c>
      <c r="N13" s="74">
        <f t="shared" si="4"/>
        <v>100</v>
      </c>
      <c r="O13" s="80" t="e">
        <f t="shared" si="5"/>
        <v>#REF!</v>
      </c>
      <c r="Q13" s="39"/>
    </row>
    <row r="14" spans="1:17" ht="15.9" customHeight="1">
      <c r="A14" s="128" t="s">
        <v>77</v>
      </c>
      <c r="B14" s="126" t="s">
        <v>341</v>
      </c>
      <c r="C14" s="38" t="e">
        <f>#REF!</f>
        <v>#REF!</v>
      </c>
      <c r="D14" s="80"/>
      <c r="E14" s="80" t="e">
        <f t="shared" si="3"/>
        <v>#REF!</v>
      </c>
      <c r="F14" s="80">
        <v>100</v>
      </c>
      <c r="G14" s="80" t="e">
        <f t="shared" si="3"/>
        <v>#REF!</v>
      </c>
      <c r="H14" s="80"/>
      <c r="I14" s="80" t="e">
        <f t="shared" si="0"/>
        <v>#REF!</v>
      </c>
      <c r="J14" s="80"/>
      <c r="K14" s="80" t="e">
        <f t="shared" si="1"/>
        <v>#REF!</v>
      </c>
      <c r="L14" s="80"/>
      <c r="M14" s="80" t="e">
        <f t="shared" si="2"/>
        <v>#REF!</v>
      </c>
      <c r="N14" s="74">
        <f t="shared" si="4"/>
        <v>100</v>
      </c>
      <c r="O14" s="80" t="e">
        <f t="shared" si="5"/>
        <v>#REF!</v>
      </c>
      <c r="Q14" s="39"/>
    </row>
    <row r="15" spans="1:17" ht="15.9" customHeight="1">
      <c r="A15" s="128" t="s">
        <v>78</v>
      </c>
      <c r="B15" s="126" t="s">
        <v>342</v>
      </c>
      <c r="C15" s="38" t="e">
        <f>#REF!</f>
        <v>#REF!</v>
      </c>
      <c r="D15" s="80">
        <v>30</v>
      </c>
      <c r="E15" s="80" t="e">
        <f t="shared" si="3"/>
        <v>#REF!</v>
      </c>
      <c r="F15" s="80">
        <v>70</v>
      </c>
      <c r="G15" s="80" t="e">
        <f t="shared" si="3"/>
        <v>#REF!</v>
      </c>
      <c r="H15" s="80"/>
      <c r="I15" s="80" t="e">
        <f t="shared" si="0"/>
        <v>#REF!</v>
      </c>
      <c r="J15" s="80"/>
      <c r="K15" s="80" t="e">
        <f t="shared" si="1"/>
        <v>#REF!</v>
      </c>
      <c r="L15" s="80"/>
      <c r="M15" s="80" t="e">
        <f t="shared" si="2"/>
        <v>#REF!</v>
      </c>
      <c r="N15" s="74">
        <f t="shared" si="4"/>
        <v>100</v>
      </c>
      <c r="O15" s="80" t="e">
        <f t="shared" si="5"/>
        <v>#REF!</v>
      </c>
      <c r="Q15" s="39"/>
    </row>
    <row r="16" spans="1:17" ht="15.9" customHeight="1">
      <c r="A16" s="128" t="s">
        <v>79</v>
      </c>
      <c r="B16" s="126" t="s">
        <v>343</v>
      </c>
      <c r="C16" s="38" t="e">
        <f>#REF!</f>
        <v>#REF!</v>
      </c>
      <c r="D16" s="80"/>
      <c r="E16" s="80" t="e">
        <f t="shared" si="3"/>
        <v>#REF!</v>
      </c>
      <c r="F16" s="80">
        <v>100</v>
      </c>
      <c r="G16" s="80" t="e">
        <f t="shared" si="3"/>
        <v>#REF!</v>
      </c>
      <c r="H16" s="80"/>
      <c r="I16" s="80" t="e">
        <f t="shared" si="0"/>
        <v>#REF!</v>
      </c>
      <c r="J16" s="80"/>
      <c r="K16" s="80" t="e">
        <f t="shared" si="1"/>
        <v>#REF!</v>
      </c>
      <c r="L16" s="80"/>
      <c r="M16" s="80" t="e">
        <f t="shared" si="2"/>
        <v>#REF!</v>
      </c>
      <c r="N16" s="74">
        <f t="shared" si="4"/>
        <v>100</v>
      </c>
      <c r="O16" s="80" t="e">
        <f t="shared" si="5"/>
        <v>#REF!</v>
      </c>
      <c r="Q16" s="39"/>
    </row>
    <row r="17" spans="1:17" ht="15.9" customHeight="1">
      <c r="A17" s="76" t="s">
        <v>357</v>
      </c>
      <c r="B17" s="126" t="s">
        <v>344</v>
      </c>
      <c r="C17" s="38" t="e">
        <f>#REF!</f>
        <v>#REF!</v>
      </c>
      <c r="D17" s="80"/>
      <c r="E17" s="80" t="e">
        <f t="shared" si="3"/>
        <v>#REF!</v>
      </c>
      <c r="F17" s="80"/>
      <c r="G17" s="80" t="e">
        <f t="shared" si="3"/>
        <v>#REF!</v>
      </c>
      <c r="H17" s="80"/>
      <c r="I17" s="80" t="e">
        <f t="shared" si="0"/>
        <v>#REF!</v>
      </c>
      <c r="J17" s="80">
        <v>100</v>
      </c>
      <c r="K17" s="80" t="e">
        <f t="shared" si="1"/>
        <v>#REF!</v>
      </c>
      <c r="L17" s="80"/>
      <c r="M17" s="80" t="e">
        <f t="shared" si="2"/>
        <v>#REF!</v>
      </c>
      <c r="N17" s="74">
        <f t="shared" si="4"/>
        <v>100</v>
      </c>
      <c r="O17" s="80" t="e">
        <f t="shared" si="5"/>
        <v>#REF!</v>
      </c>
      <c r="Q17" s="39"/>
    </row>
    <row r="18" spans="1:17" ht="15.9" customHeight="1">
      <c r="A18" s="76" t="s">
        <v>358</v>
      </c>
      <c r="B18" s="126" t="s">
        <v>345</v>
      </c>
      <c r="C18" s="38" t="e">
        <f>#REF!</f>
        <v>#REF!</v>
      </c>
      <c r="D18" s="80"/>
      <c r="E18" s="80" t="e">
        <f t="shared" si="3"/>
        <v>#REF!</v>
      </c>
      <c r="F18" s="80">
        <v>100</v>
      </c>
      <c r="G18" s="80" t="e">
        <f t="shared" si="3"/>
        <v>#REF!</v>
      </c>
      <c r="H18" s="80"/>
      <c r="I18" s="80" t="e">
        <f t="shared" si="0"/>
        <v>#REF!</v>
      </c>
      <c r="J18" s="80"/>
      <c r="K18" s="80" t="e">
        <f t="shared" si="1"/>
        <v>#REF!</v>
      </c>
      <c r="L18" s="80"/>
      <c r="M18" s="80" t="e">
        <f t="shared" si="2"/>
        <v>#REF!</v>
      </c>
      <c r="N18" s="74">
        <f t="shared" si="4"/>
        <v>100</v>
      </c>
      <c r="O18" s="80" t="e">
        <f t="shared" si="5"/>
        <v>#REF!</v>
      </c>
      <c r="Q18" s="39"/>
    </row>
    <row r="19" spans="1:17" ht="15.9" customHeight="1">
      <c r="A19" s="76" t="s">
        <v>356</v>
      </c>
      <c r="B19" s="126" t="s">
        <v>346</v>
      </c>
      <c r="C19" s="38" t="e">
        <f>#REF!</f>
        <v>#REF!</v>
      </c>
      <c r="D19" s="80">
        <v>20</v>
      </c>
      <c r="E19" s="80" t="e">
        <f t="shared" si="3"/>
        <v>#REF!</v>
      </c>
      <c r="F19" s="80">
        <v>10</v>
      </c>
      <c r="G19" s="80" t="e">
        <f t="shared" si="3"/>
        <v>#REF!</v>
      </c>
      <c r="H19" s="80"/>
      <c r="I19" s="80" t="e">
        <f t="shared" si="0"/>
        <v>#REF!</v>
      </c>
      <c r="J19" s="80">
        <v>40</v>
      </c>
      <c r="K19" s="80" t="e">
        <f t="shared" si="1"/>
        <v>#REF!</v>
      </c>
      <c r="L19" s="80">
        <v>30</v>
      </c>
      <c r="M19" s="80" t="e">
        <f t="shared" si="2"/>
        <v>#REF!</v>
      </c>
      <c r="N19" s="74">
        <f t="shared" si="4"/>
        <v>100</v>
      </c>
      <c r="O19" s="80" t="e">
        <f t="shared" si="5"/>
        <v>#REF!</v>
      </c>
      <c r="Q19" s="39"/>
    </row>
    <row r="20" spans="1:17" ht="15.9" customHeight="1">
      <c r="A20" s="76" t="s">
        <v>359</v>
      </c>
      <c r="B20" s="126" t="s">
        <v>347</v>
      </c>
      <c r="C20" s="38" t="e">
        <f>#REF!</f>
        <v>#REF!</v>
      </c>
      <c r="D20" s="80"/>
      <c r="E20" s="80" t="e">
        <f t="shared" si="3"/>
        <v>#REF!</v>
      </c>
      <c r="F20" s="80"/>
      <c r="G20" s="80" t="e">
        <f t="shared" si="3"/>
        <v>#REF!</v>
      </c>
      <c r="H20" s="80">
        <v>80</v>
      </c>
      <c r="I20" s="80" t="e">
        <f t="shared" si="0"/>
        <v>#REF!</v>
      </c>
      <c r="J20" s="80">
        <v>20</v>
      </c>
      <c r="K20" s="80" t="e">
        <f t="shared" si="1"/>
        <v>#REF!</v>
      </c>
      <c r="L20" s="80"/>
      <c r="M20" s="80" t="e">
        <f t="shared" si="2"/>
        <v>#REF!</v>
      </c>
      <c r="N20" s="74">
        <f t="shared" si="4"/>
        <v>100</v>
      </c>
      <c r="O20" s="80" t="e">
        <f t="shared" si="5"/>
        <v>#REF!</v>
      </c>
      <c r="Q20" s="39"/>
    </row>
    <row r="21" spans="1:17" ht="15.9" customHeight="1">
      <c r="A21" s="76" t="s">
        <v>360</v>
      </c>
      <c r="B21" s="126" t="s">
        <v>348</v>
      </c>
      <c r="C21" s="38" t="e">
        <f>#REF!</f>
        <v>#REF!</v>
      </c>
      <c r="D21" s="80"/>
      <c r="E21" s="80" t="e">
        <f t="shared" si="3"/>
        <v>#REF!</v>
      </c>
      <c r="F21" s="80">
        <v>80</v>
      </c>
      <c r="G21" s="80" t="e">
        <f t="shared" si="3"/>
        <v>#REF!</v>
      </c>
      <c r="H21" s="80"/>
      <c r="I21" s="80" t="e">
        <f t="shared" si="0"/>
        <v>#REF!</v>
      </c>
      <c r="J21" s="80">
        <v>20</v>
      </c>
      <c r="K21" s="80" t="e">
        <f t="shared" si="1"/>
        <v>#REF!</v>
      </c>
      <c r="L21" s="80"/>
      <c r="M21" s="80" t="e">
        <f t="shared" si="2"/>
        <v>#REF!</v>
      </c>
      <c r="N21" s="74">
        <f t="shared" si="4"/>
        <v>100</v>
      </c>
      <c r="O21" s="80" t="e">
        <f t="shared" si="5"/>
        <v>#REF!</v>
      </c>
      <c r="Q21" s="39"/>
    </row>
    <row r="22" spans="1:17" ht="15.9" customHeight="1">
      <c r="A22" s="76" t="s">
        <v>361</v>
      </c>
      <c r="B22" s="126" t="s">
        <v>349</v>
      </c>
      <c r="C22" s="38" t="e">
        <f>#REF!</f>
        <v>#REF!</v>
      </c>
      <c r="D22" s="80"/>
      <c r="E22" s="80" t="e">
        <f t="shared" si="3"/>
        <v>#REF!</v>
      </c>
      <c r="F22" s="80"/>
      <c r="G22" s="80" t="e">
        <f t="shared" si="3"/>
        <v>#REF!</v>
      </c>
      <c r="H22" s="80">
        <v>50</v>
      </c>
      <c r="I22" s="80" t="e">
        <f t="shared" si="0"/>
        <v>#REF!</v>
      </c>
      <c r="J22" s="80">
        <v>50</v>
      </c>
      <c r="K22" s="80" t="e">
        <f t="shared" si="1"/>
        <v>#REF!</v>
      </c>
      <c r="L22" s="80"/>
      <c r="M22" s="80" t="e">
        <f t="shared" si="2"/>
        <v>#REF!</v>
      </c>
      <c r="N22" s="74">
        <f t="shared" si="4"/>
        <v>100</v>
      </c>
      <c r="O22" s="80" t="e">
        <f t="shared" si="5"/>
        <v>#REF!</v>
      </c>
      <c r="Q22" s="39"/>
    </row>
    <row r="23" spans="1:17" ht="15.9" customHeight="1">
      <c r="A23" s="76" t="s">
        <v>362</v>
      </c>
      <c r="B23" s="126" t="s">
        <v>350</v>
      </c>
      <c r="C23" s="38" t="e">
        <f>#REF!</f>
        <v>#REF!</v>
      </c>
      <c r="D23" s="80"/>
      <c r="E23" s="80" t="e">
        <f t="shared" si="3"/>
        <v>#REF!</v>
      </c>
      <c r="F23" s="80"/>
      <c r="G23" s="80" t="e">
        <f t="shared" si="3"/>
        <v>#REF!</v>
      </c>
      <c r="H23" s="80"/>
      <c r="I23" s="80" t="e">
        <f t="shared" si="0"/>
        <v>#REF!</v>
      </c>
      <c r="J23" s="80">
        <v>100</v>
      </c>
      <c r="K23" s="80" t="e">
        <f t="shared" si="1"/>
        <v>#REF!</v>
      </c>
      <c r="L23" s="80"/>
      <c r="M23" s="80" t="e">
        <f t="shared" si="2"/>
        <v>#REF!</v>
      </c>
      <c r="N23" s="74">
        <f t="shared" si="4"/>
        <v>100</v>
      </c>
      <c r="O23" s="80" t="e">
        <f t="shared" si="5"/>
        <v>#REF!</v>
      </c>
      <c r="Q23" s="39"/>
    </row>
    <row r="24" spans="1:17" ht="15.9" customHeight="1">
      <c r="A24" s="76" t="s">
        <v>363</v>
      </c>
      <c r="B24" s="126" t="s">
        <v>351</v>
      </c>
      <c r="C24" s="38" t="e">
        <f>#REF!</f>
        <v>#REF!</v>
      </c>
      <c r="D24" s="80"/>
      <c r="E24" s="80" t="e">
        <f t="shared" si="3"/>
        <v>#REF!</v>
      </c>
      <c r="F24" s="80">
        <v>20</v>
      </c>
      <c r="G24" s="80" t="e">
        <f t="shared" si="3"/>
        <v>#REF!</v>
      </c>
      <c r="H24" s="80">
        <v>40</v>
      </c>
      <c r="I24" s="80" t="e">
        <f t="shared" si="0"/>
        <v>#REF!</v>
      </c>
      <c r="J24" s="80">
        <v>40</v>
      </c>
      <c r="K24" s="80" t="e">
        <f t="shared" si="1"/>
        <v>#REF!</v>
      </c>
      <c r="L24" s="80"/>
      <c r="M24" s="80" t="e">
        <f t="shared" si="2"/>
        <v>#REF!</v>
      </c>
      <c r="N24" s="74">
        <f t="shared" si="4"/>
        <v>100</v>
      </c>
      <c r="O24" s="80" t="e">
        <f t="shared" si="5"/>
        <v>#REF!</v>
      </c>
      <c r="Q24" s="39"/>
    </row>
    <row r="25" spans="1:17" ht="15.9" customHeight="1">
      <c r="A25" s="76" t="s">
        <v>364</v>
      </c>
      <c r="B25" s="126" t="s">
        <v>352</v>
      </c>
      <c r="C25" s="38" t="e">
        <f>#REF!</f>
        <v>#REF!</v>
      </c>
      <c r="D25" s="80"/>
      <c r="E25" s="80" t="e">
        <f t="shared" si="3"/>
        <v>#REF!</v>
      </c>
      <c r="F25" s="80"/>
      <c r="G25" s="80" t="e">
        <f t="shared" si="3"/>
        <v>#REF!</v>
      </c>
      <c r="H25" s="80"/>
      <c r="I25" s="80" t="e">
        <f t="shared" si="0"/>
        <v>#REF!</v>
      </c>
      <c r="J25" s="80">
        <v>100</v>
      </c>
      <c r="K25" s="80" t="e">
        <f t="shared" si="1"/>
        <v>#REF!</v>
      </c>
      <c r="L25" s="80"/>
      <c r="M25" s="80" t="e">
        <f t="shared" si="2"/>
        <v>#REF!</v>
      </c>
      <c r="N25" s="74">
        <f t="shared" si="4"/>
        <v>100</v>
      </c>
      <c r="O25" s="80" t="e">
        <f t="shared" si="5"/>
        <v>#REF!</v>
      </c>
      <c r="Q25" s="39"/>
    </row>
    <row r="26" spans="1:17" ht="15.9" customHeight="1">
      <c r="A26" s="76" t="s">
        <v>365</v>
      </c>
      <c r="B26" s="126" t="s">
        <v>353</v>
      </c>
      <c r="C26" s="38" t="e">
        <f>#REF!</f>
        <v>#REF!</v>
      </c>
      <c r="D26" s="80"/>
      <c r="E26" s="80" t="e">
        <f t="shared" si="3"/>
        <v>#REF!</v>
      </c>
      <c r="F26" s="80">
        <v>100</v>
      </c>
      <c r="G26" s="80" t="e">
        <f t="shared" si="3"/>
        <v>#REF!</v>
      </c>
      <c r="H26" s="80"/>
      <c r="I26" s="80" t="e">
        <f t="shared" si="0"/>
        <v>#REF!</v>
      </c>
      <c r="J26" s="80"/>
      <c r="K26" s="80" t="e">
        <f t="shared" si="1"/>
        <v>#REF!</v>
      </c>
      <c r="L26" s="80"/>
      <c r="M26" s="80" t="e">
        <f t="shared" si="2"/>
        <v>#REF!</v>
      </c>
      <c r="N26" s="74">
        <f t="shared" si="4"/>
        <v>100</v>
      </c>
      <c r="O26" s="80" t="e">
        <f t="shared" si="5"/>
        <v>#REF!</v>
      </c>
      <c r="Q26" s="39"/>
    </row>
    <row r="27" spans="1:17" ht="15.9" customHeight="1">
      <c r="A27" s="76" t="s">
        <v>366</v>
      </c>
      <c r="B27" s="126" t="s">
        <v>354</v>
      </c>
      <c r="C27" s="38" t="e">
        <f>#REF!</f>
        <v>#REF!</v>
      </c>
      <c r="D27" s="80"/>
      <c r="E27" s="80" t="e">
        <f t="shared" si="3"/>
        <v>#REF!</v>
      </c>
      <c r="F27" s="80"/>
      <c r="G27" s="80" t="e">
        <f t="shared" si="3"/>
        <v>#REF!</v>
      </c>
      <c r="H27" s="80"/>
      <c r="I27" s="80" t="e">
        <f t="shared" si="0"/>
        <v>#REF!</v>
      </c>
      <c r="J27" s="80">
        <v>100</v>
      </c>
      <c r="K27" s="80" t="e">
        <f t="shared" si="1"/>
        <v>#REF!</v>
      </c>
      <c r="L27" s="80"/>
      <c r="M27" s="80" t="e">
        <f t="shared" si="2"/>
        <v>#REF!</v>
      </c>
      <c r="N27" s="74">
        <f t="shared" si="4"/>
        <v>100</v>
      </c>
      <c r="O27" s="80" t="e">
        <f t="shared" si="5"/>
        <v>#REF!</v>
      </c>
      <c r="Q27" s="39"/>
    </row>
    <row r="28" spans="1:17" ht="15.9" customHeight="1">
      <c r="A28" s="76" t="s">
        <v>367</v>
      </c>
      <c r="B28" s="126" t="s">
        <v>355</v>
      </c>
      <c r="C28" s="38" t="e">
        <f>#REF!</f>
        <v>#REF!</v>
      </c>
      <c r="D28" s="80"/>
      <c r="E28" s="80" t="e">
        <f t="shared" si="3"/>
        <v>#REF!</v>
      </c>
      <c r="F28" s="80"/>
      <c r="G28" s="80" t="e">
        <f t="shared" si="3"/>
        <v>#REF!</v>
      </c>
      <c r="H28" s="80"/>
      <c r="I28" s="80" t="e">
        <f t="shared" si="0"/>
        <v>#REF!</v>
      </c>
      <c r="J28" s="80"/>
      <c r="K28" s="80" t="e">
        <f t="shared" si="1"/>
        <v>#REF!</v>
      </c>
      <c r="L28" s="80">
        <v>100</v>
      </c>
      <c r="M28" s="80" t="e">
        <f t="shared" si="2"/>
        <v>#REF!</v>
      </c>
      <c r="N28" s="74">
        <f t="shared" si="4"/>
        <v>100</v>
      </c>
      <c r="O28" s="80" t="e">
        <f t="shared" si="5"/>
        <v>#REF!</v>
      </c>
      <c r="Q28" s="39"/>
    </row>
    <row r="29" spans="1:17" ht="14.4">
      <c r="A29" s="81"/>
      <c r="B29" s="82" t="s">
        <v>24</v>
      </c>
      <c r="C29" s="83" t="e">
        <f>SUM(C10:C28)</f>
        <v>#REF!</v>
      </c>
      <c r="D29" s="77" t="e">
        <f>(E29/$C$29)*100</f>
        <v>#REF!</v>
      </c>
      <c r="E29" s="83" t="e">
        <f>SUM(E10:E28)</f>
        <v>#REF!</v>
      </c>
      <c r="F29" s="83"/>
      <c r="G29" s="83" t="e">
        <f>SUM(G10:G28)</f>
        <v>#REF!</v>
      </c>
      <c r="H29" s="83"/>
      <c r="I29" s="83" t="e">
        <f>SUM(I10:I28)</f>
        <v>#REF!</v>
      </c>
      <c r="J29" s="83"/>
      <c r="K29" s="83" t="e">
        <f>SUM(K10:K28)</f>
        <v>#REF!</v>
      </c>
      <c r="L29" s="77" t="e">
        <f>(M29/$C$29)*100</f>
        <v>#REF!</v>
      </c>
      <c r="M29" s="83" t="e">
        <f>SUM(M10:M28)</f>
        <v>#REF!</v>
      </c>
      <c r="N29" s="77" t="e">
        <f>(O29/$C$29)*100</f>
        <v>#REF!</v>
      </c>
      <c r="O29" s="83" t="e">
        <f>SUM(O10:O28)</f>
        <v>#REF!</v>
      </c>
    </row>
    <row r="30" spans="1:17">
      <c r="C30" s="40"/>
    </row>
    <row r="31" spans="1:17">
      <c r="C31" s="40"/>
    </row>
    <row r="32" spans="1:17">
      <c r="B32" s="41" t="str">
        <f>[4]BDI!I41</f>
        <v>Rosário do Sul - RS,</v>
      </c>
      <c r="C32" s="180">
        <f ca="1">TODAY()</f>
        <v>46162</v>
      </c>
      <c r="D32" s="180"/>
      <c r="E32" s="180"/>
      <c r="F32" s="87"/>
      <c r="G32" s="87"/>
      <c r="H32" s="87"/>
      <c r="I32" s="87"/>
      <c r="J32" s="87"/>
      <c r="K32" s="87"/>
    </row>
    <row r="33" spans="2:11">
      <c r="B33" s="41"/>
      <c r="C33" s="87"/>
      <c r="D33" s="87"/>
      <c r="E33" s="87"/>
      <c r="F33" s="87"/>
      <c r="G33" s="87"/>
      <c r="H33" s="87"/>
      <c r="I33" s="87"/>
      <c r="J33" s="87"/>
      <c r="K33" s="87"/>
    </row>
    <row r="34" spans="2:11">
      <c r="B34" s="41"/>
      <c r="C34" s="87"/>
      <c r="D34" s="87"/>
      <c r="E34" s="87"/>
      <c r="F34" s="87"/>
      <c r="G34" s="87"/>
      <c r="H34" s="87"/>
      <c r="I34" s="87"/>
      <c r="J34" s="87"/>
      <c r="K34" s="87"/>
    </row>
    <row r="35" spans="2:11">
      <c r="B35" s="41"/>
      <c r="C35" s="87"/>
      <c r="D35" s="87"/>
      <c r="E35" s="87"/>
      <c r="F35" s="87"/>
      <c r="G35" s="87"/>
      <c r="H35" s="87"/>
      <c r="I35" s="87"/>
      <c r="J35" s="87"/>
      <c r="K35" s="87"/>
    </row>
    <row r="36" spans="2:11">
      <c r="C36" s="40"/>
    </row>
    <row r="37" spans="2:11" s="3" customFormat="1" ht="12">
      <c r="B37" s="3" t="s">
        <v>371</v>
      </c>
      <c r="C37" s="18"/>
      <c r="E37" s="132" t="s">
        <v>373</v>
      </c>
      <c r="F37" s="132"/>
      <c r="G37" s="132"/>
      <c r="H37" s="132"/>
      <c r="I37" s="2"/>
      <c r="J37" s="2"/>
      <c r="K37" s="2"/>
    </row>
    <row r="38" spans="2:11" s="3" customFormat="1" ht="12">
      <c r="B38" s="3" t="s">
        <v>372</v>
      </c>
      <c r="C38" s="18"/>
      <c r="E38" s="132" t="s">
        <v>374</v>
      </c>
      <c r="F38" s="86"/>
      <c r="G38" s="20"/>
      <c r="H38" s="21"/>
      <c r="I38" s="2"/>
      <c r="J38" s="2"/>
      <c r="K38" s="2"/>
    </row>
    <row r="39" spans="2:11">
      <c r="C39" s="40"/>
      <c r="E39" s="40"/>
      <c r="F39" s="40"/>
      <c r="G39" s="40"/>
      <c r="H39" s="40"/>
      <c r="I39" s="40"/>
      <c r="J39" s="40"/>
      <c r="K39" s="40"/>
    </row>
    <row r="40" spans="2:11">
      <c r="C40" s="42"/>
      <c r="E40" s="40"/>
      <c r="F40" s="40"/>
      <c r="G40" s="40"/>
      <c r="H40" s="40"/>
      <c r="I40" s="40"/>
      <c r="J40" s="40"/>
      <c r="K40" s="40"/>
    </row>
    <row r="41" spans="2:11">
      <c r="C41" s="42"/>
      <c r="E41" s="40"/>
      <c r="F41" s="40"/>
      <c r="G41" s="40"/>
      <c r="H41" s="40"/>
      <c r="I41" s="40"/>
      <c r="J41" s="40"/>
      <c r="K41" s="40"/>
    </row>
    <row r="43" spans="2:11">
      <c r="C43" s="39"/>
    </row>
    <row r="44" spans="2:11">
      <c r="C44" s="42"/>
    </row>
  </sheetData>
  <mergeCells count="11">
    <mergeCell ref="C32:E32"/>
    <mergeCell ref="A2:M2"/>
    <mergeCell ref="D7:M7"/>
    <mergeCell ref="A8:A9"/>
    <mergeCell ref="B8:B9"/>
    <mergeCell ref="D8:E8"/>
    <mergeCell ref="L8:M8"/>
    <mergeCell ref="F8:G8"/>
    <mergeCell ref="H8:I8"/>
    <mergeCell ref="J8:K8"/>
    <mergeCell ref="N8:O8"/>
  </mergeCells>
  <phoneticPr fontId="2" type="noConversion"/>
  <conditionalFormatting sqref="O10:O28">
    <cfRule type="cellIs" dxfId="2" priority="1" stopIfTrue="1" operator="greaterThan">
      <formula>$C10</formula>
    </cfRule>
  </conditionalFormatting>
  <conditionalFormatting sqref="N10:N28">
    <cfRule type="cellIs" dxfId="1" priority="2" stopIfTrue="1" operator="greaterThan">
      <formula>100</formula>
    </cfRule>
  </conditionalFormatting>
  <conditionalFormatting sqref="D9:N9">
    <cfRule type="cellIs" dxfId="0" priority="3" stopIfTrue="1" operator="equal">
      <formula>0</formula>
    </cfRule>
  </conditionalFormatting>
  <pageMargins left="0.39370078740157483" right="0.39370078740157483" top="1.1811023622047245" bottom="0.98425196850393704" header="0.31496062992125984" footer="0.51181102362204722"/>
  <pageSetup paperSize="9" scale="74" orientation="landscape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2"/>
  </sheetPr>
  <dimension ref="A1:M349"/>
  <sheetViews>
    <sheetView tabSelected="1" view="pageBreakPreview" zoomScale="130" zoomScaleNormal="130" workbookViewId="0">
      <selection activeCell="M8" sqref="M8"/>
    </sheetView>
  </sheetViews>
  <sheetFormatPr defaultColWidth="9.109375" defaultRowHeight="12"/>
  <cols>
    <col min="1" max="1" width="7.109375" style="3" customWidth="1"/>
    <col min="2" max="2" width="10" style="18" customWidth="1"/>
    <col min="3" max="3" width="7.6640625" style="18" customWidth="1"/>
    <col min="4" max="4" width="54.33203125" style="3" customWidth="1"/>
    <col min="5" max="5" width="5.6640625" style="19" customWidth="1"/>
    <col min="6" max="6" width="7.6640625" style="86" customWidth="1"/>
    <col min="7" max="7" width="9.6640625" style="20" customWidth="1"/>
    <col min="8" max="8" width="9.6640625" style="21" customWidth="1"/>
    <col min="9" max="9" width="9.6640625" style="2" customWidth="1"/>
    <col min="10" max="10" width="11.109375" style="2" customWidth="1"/>
    <col min="11" max="11" width="19" style="2" customWidth="1"/>
    <col min="12" max="12" width="11.88671875" style="3" bestFit="1" customWidth="1"/>
    <col min="13" max="13" width="6.33203125" style="3" customWidth="1"/>
    <col min="14" max="16384" width="9.109375" style="3"/>
  </cols>
  <sheetData>
    <row r="1" spans="1:11" ht="27.75" customHeight="1">
      <c r="A1" s="194" t="s">
        <v>3</v>
      </c>
      <c r="B1" s="195"/>
      <c r="C1" s="204" t="s">
        <v>80</v>
      </c>
      <c r="D1" s="204"/>
      <c r="E1" s="204"/>
      <c r="F1" s="204"/>
      <c r="G1" s="1"/>
      <c r="H1" s="196" t="s">
        <v>4</v>
      </c>
      <c r="I1" s="197"/>
    </row>
    <row r="2" spans="1:11" ht="18" customHeight="1">
      <c r="A2" s="198" t="s">
        <v>5</v>
      </c>
      <c r="B2" s="199"/>
      <c r="C2" s="200" t="s">
        <v>81</v>
      </c>
      <c r="D2" s="200"/>
      <c r="E2" s="200"/>
      <c r="F2" s="200"/>
      <c r="G2" s="201"/>
      <c r="H2" s="202">
        <v>45901</v>
      </c>
      <c r="I2" s="203"/>
    </row>
    <row r="3" spans="1:11" ht="18.75" customHeight="1">
      <c r="A3" s="187" t="s">
        <v>6</v>
      </c>
      <c r="B3" s="188"/>
      <c r="C3" s="5" t="s">
        <v>82</v>
      </c>
      <c r="D3" s="4"/>
      <c r="E3" s="4"/>
      <c r="F3" s="84"/>
      <c r="G3" s="6"/>
      <c r="H3" s="7" t="s">
        <v>2</v>
      </c>
      <c r="I3" s="8">
        <f>BDI!N26</f>
        <v>0.23710000000000001</v>
      </c>
    </row>
    <row r="4" spans="1:11" ht="5.0999999999999996" customHeight="1">
      <c r="A4" s="9"/>
      <c r="B4" s="10"/>
      <c r="C4" s="10"/>
      <c r="D4" s="11"/>
      <c r="E4" s="12"/>
      <c r="F4" s="85"/>
      <c r="G4" s="13"/>
      <c r="H4" s="14"/>
      <c r="I4" s="15"/>
    </row>
    <row r="5" spans="1:11" ht="9.9" customHeight="1">
      <c r="A5" s="189" t="s">
        <v>7</v>
      </c>
      <c r="B5" s="190"/>
      <c r="C5" s="191"/>
      <c r="D5" s="191"/>
      <c r="E5" s="191"/>
      <c r="F5" s="191"/>
      <c r="G5" s="191"/>
      <c r="H5" s="191"/>
      <c r="I5" s="192"/>
    </row>
    <row r="6" spans="1:11" ht="9.9" customHeight="1">
      <c r="A6" s="193"/>
      <c r="B6" s="191"/>
      <c r="C6" s="191"/>
      <c r="D6" s="191"/>
      <c r="E6" s="191"/>
      <c r="F6" s="191"/>
      <c r="G6" s="191"/>
      <c r="H6" s="191"/>
      <c r="I6" s="192"/>
    </row>
    <row r="7" spans="1:11" ht="32.25" customHeight="1">
      <c r="A7" s="88" t="s">
        <v>0</v>
      </c>
      <c r="B7" s="89" t="s">
        <v>8</v>
      </c>
      <c r="C7" s="89" t="s">
        <v>9</v>
      </c>
      <c r="D7" s="90" t="s">
        <v>10</v>
      </c>
      <c r="E7" s="90" t="s">
        <v>1</v>
      </c>
      <c r="F7" s="91" t="s">
        <v>11</v>
      </c>
      <c r="G7" s="92" t="s">
        <v>335</v>
      </c>
      <c r="H7" s="89" t="s">
        <v>336</v>
      </c>
      <c r="I7" s="93" t="s">
        <v>12</v>
      </c>
    </row>
    <row r="8" spans="1:11" s="116" customFormat="1" ht="15" customHeight="1">
      <c r="A8" s="100" t="str">
        <f>[5]PO!K13</f>
        <v>1.</v>
      </c>
      <c r="B8" s="101"/>
      <c r="C8" s="101"/>
      <c r="D8" s="101" t="str">
        <f>[6]ORÇAMENTO!R17</f>
        <v xml:space="preserve">SERVIÇOS PRELIMINARES </v>
      </c>
      <c r="E8" s="102"/>
      <c r="F8" s="103"/>
      <c r="G8" s="103"/>
      <c r="H8" s="103"/>
      <c r="I8" s="104">
        <f>SUM(I9:I15)</f>
        <v>62379.340000000004</v>
      </c>
      <c r="J8" s="115"/>
      <c r="K8" s="115"/>
    </row>
    <row r="9" spans="1:11" ht="15" customHeight="1">
      <c r="A9" s="94" t="s">
        <v>83</v>
      </c>
      <c r="B9" s="105" t="str">
        <f>[6]ORÇAMENTO!P18</f>
        <v>Composição</v>
      </c>
      <c r="C9" s="105" t="str">
        <f>[6]ORÇAMENTO!Q18</f>
        <v>054</v>
      </c>
      <c r="D9" s="106" t="str">
        <f>[6]ORÇAMENTO!R18</f>
        <v>SONDAGEM DO TERRENO ( UM FURO DE 7M A CADA 200 M²)</v>
      </c>
      <c r="E9" s="16" t="str">
        <f>[6]ORÇAMENTO!S18</f>
        <v>M</v>
      </c>
      <c r="F9" s="17">
        <f>[6]ORÇAMENTO!T18</f>
        <v>35</v>
      </c>
      <c r="G9" s="17">
        <f>[6]ORÇAMENTO!U18</f>
        <v>711.44</v>
      </c>
      <c r="H9" s="17">
        <f>[6]ORÇAMENTO!W18</f>
        <v>880.12</v>
      </c>
      <c r="I9" s="95">
        <f>[6]ORÇAMENTO!X18</f>
        <v>30804.2</v>
      </c>
    </row>
    <row r="10" spans="1:11" ht="15" customHeight="1">
      <c r="A10" s="94" t="s">
        <v>84</v>
      </c>
      <c r="B10" s="105" t="str">
        <f>[6]ORÇAMENTO!P19</f>
        <v>SINAPI</v>
      </c>
      <c r="C10" s="105" t="str">
        <f>[6]ORÇAMENTO!Q19</f>
        <v>98458</v>
      </c>
      <c r="D10" s="106" t="str">
        <f>[6]ORÇAMENTO!R19</f>
        <v>TAPUME COM COMPENSADO DE MADEIRA. AF_03/2024</v>
      </c>
      <c r="E10" s="16" t="str">
        <f>[6]ORÇAMENTO!S19</f>
        <v>M2</v>
      </c>
      <c r="F10" s="17">
        <f>[6]ORÇAMENTO!T19</f>
        <v>70</v>
      </c>
      <c r="G10" s="17">
        <f>[6]ORÇAMENTO!U19</f>
        <v>99.59</v>
      </c>
      <c r="H10" s="17">
        <f>[6]ORÇAMENTO!W19</f>
        <v>123.2</v>
      </c>
      <c r="I10" s="95">
        <f>[6]ORÇAMENTO!X19</f>
        <v>8624</v>
      </c>
    </row>
    <row r="11" spans="1:11" ht="23.25" customHeight="1">
      <c r="A11" s="94" t="s">
        <v>85</v>
      </c>
      <c r="B11" s="105" t="str">
        <f>[6]ORÇAMENTO!P20</f>
        <v>SINAPI</v>
      </c>
      <c r="C11" s="105" t="str">
        <f>[6]ORÇAMENTO!Q20</f>
        <v>103689</v>
      </c>
      <c r="D11" s="106" t="str">
        <f>[6]ORÇAMENTO!R20</f>
        <v>FORNECIMENTO E INSTALAÇÃO DE PLACA DE OBRA COM CHAPA GALVANIZADA E ESTRUTURA DE MADEIRA. AF_03/2022_PS</v>
      </c>
      <c r="E11" s="16" t="str">
        <f>[6]ORÇAMENTO!S20</f>
        <v>M2</v>
      </c>
      <c r="F11" s="17">
        <f>[6]ORÇAMENTO!T20</f>
        <v>6</v>
      </c>
      <c r="G11" s="17">
        <f>[6]ORÇAMENTO!U20</f>
        <v>462.39</v>
      </c>
      <c r="H11" s="17">
        <f>[6]ORÇAMENTO!W20</f>
        <v>572.02</v>
      </c>
      <c r="I11" s="95">
        <f>[6]ORÇAMENTO!X20</f>
        <v>3432.12</v>
      </c>
    </row>
    <row r="12" spans="1:11" ht="15" customHeight="1">
      <c r="A12" s="94" t="s">
        <v>86</v>
      </c>
      <c r="B12" s="105" t="str">
        <f>[6]ORÇAMENTO!P21</f>
        <v>Composição</v>
      </c>
      <c r="C12" s="105" t="str">
        <f>[6]ORÇAMENTO!Q21</f>
        <v>001</v>
      </c>
      <c r="D12" s="106" t="str">
        <f>[6]ORÇAMENTO!R21</f>
        <v>ENTRADA PROVISÓRIA DE ENERGIA ELÉTRICA</v>
      </c>
      <c r="E12" s="16" t="str">
        <f>[6]ORÇAMENTO!S21</f>
        <v>UN</v>
      </c>
      <c r="F12" s="17">
        <f>[6]ORÇAMENTO!T21</f>
        <v>1</v>
      </c>
      <c r="G12" s="17">
        <f>[6]ORÇAMENTO!U21</f>
        <v>2998.99</v>
      </c>
      <c r="H12" s="17">
        <f>[6]ORÇAMENTO!W21</f>
        <v>3710.05</v>
      </c>
      <c r="I12" s="95">
        <f>[6]ORÇAMENTO!X21</f>
        <v>3710.05</v>
      </c>
    </row>
    <row r="13" spans="1:11" ht="16.5" customHeight="1">
      <c r="A13" s="94" t="s">
        <v>87</v>
      </c>
      <c r="B13" s="105" t="str">
        <f>[6]ORÇAMENTO!P22</f>
        <v>Composição</v>
      </c>
      <c r="C13" s="105" t="str">
        <f>[6]ORÇAMENTO!Q22</f>
        <v>002</v>
      </c>
      <c r="D13" s="106" t="str">
        <f>[6]ORÇAMENTO!R22</f>
        <v>ENTRADA PROVISÓRIA DE ÁGUA</v>
      </c>
      <c r="E13" s="16" t="str">
        <f>[6]ORÇAMENTO!S22</f>
        <v>UN</v>
      </c>
      <c r="F13" s="17">
        <f>[6]ORÇAMENTO!T22</f>
        <v>1</v>
      </c>
      <c r="G13" s="17">
        <f>[6]ORÇAMENTO!U22</f>
        <v>533.95000000000005</v>
      </c>
      <c r="H13" s="17">
        <f>[6]ORÇAMENTO!W22</f>
        <v>660.55</v>
      </c>
      <c r="I13" s="95">
        <f>[6]ORÇAMENTO!X22</f>
        <v>660.55</v>
      </c>
    </row>
    <row r="14" spans="1:11" ht="32.25" customHeight="1">
      <c r="A14" s="94" t="s">
        <v>88</v>
      </c>
      <c r="B14" s="105" t="str">
        <f>[6]ORÇAMENTO!P23</f>
        <v>Composição</v>
      </c>
      <c r="C14" s="105" t="str">
        <f>[6]ORÇAMENTO!Q23</f>
        <v>003</v>
      </c>
      <c r="D14" s="106" t="str">
        <f>[6]ORÇAMENTO!R23</f>
        <v>EXECUÇÃO DE ALMOXARIFADO EM CANTEIRO DE OBRA EM CHAPA DE MADEIRA COMPENSADA, INCLUSO PRATELEIRAS.</v>
      </c>
      <c r="E14" s="16" t="str">
        <f>[6]ORÇAMENTO!S23</f>
        <v xml:space="preserve">M2    </v>
      </c>
      <c r="F14" s="17">
        <f>[6]ORÇAMENTO!T23</f>
        <v>15</v>
      </c>
      <c r="G14" s="17">
        <f>[6]ORÇAMENTO!U23</f>
        <v>792.49</v>
      </c>
      <c r="H14" s="17">
        <f>[6]ORÇAMENTO!W23</f>
        <v>980.39</v>
      </c>
      <c r="I14" s="95">
        <f>[6]ORÇAMENTO!X23</f>
        <v>14705.85</v>
      </c>
    </row>
    <row r="15" spans="1:11" ht="27.75" customHeight="1">
      <c r="A15" s="94" t="s">
        <v>89</v>
      </c>
      <c r="B15" s="105" t="str">
        <f>[6]ORÇAMENTO!P24</f>
        <v>SINAPI</v>
      </c>
      <c r="C15" s="105" t="str">
        <f>[6]ORÇAMENTO!Q24</f>
        <v>97622</v>
      </c>
      <c r="D15" s="106" t="str">
        <f>[6]ORÇAMENTO!R24</f>
        <v>DEMOLIÇÃO DE ALVENARIA DE BLOCO FURADO, DE FORMA MANUAL, SEM REAPROVEITAMENTO. AF_09/2023</v>
      </c>
      <c r="E15" s="16" t="str">
        <f>[6]ORÇAMENTO!S24</f>
        <v>M3</v>
      </c>
      <c r="F15" s="17">
        <f>[6]ORÇAMENTO!T24</f>
        <v>5.61</v>
      </c>
      <c r="G15" s="17">
        <f>[6]ORÇAMENTO!U24</f>
        <v>63.77</v>
      </c>
      <c r="H15" s="17">
        <f>[6]ORÇAMENTO!W24</f>
        <v>78.89</v>
      </c>
      <c r="I15" s="95">
        <f>[6]ORÇAMENTO!X24</f>
        <v>442.57</v>
      </c>
    </row>
    <row r="16" spans="1:11" s="116" customFormat="1" ht="15" customHeight="1">
      <c r="A16" s="117">
        <v>2</v>
      </c>
      <c r="B16" s="118"/>
      <c r="C16" s="118"/>
      <c r="D16" s="119" t="str">
        <f>[6]ORÇAMENTO!R26</f>
        <v xml:space="preserve">SUPERESTRUTURA </v>
      </c>
      <c r="E16" s="120"/>
      <c r="F16" s="121"/>
      <c r="G16" s="121"/>
      <c r="H16" s="121"/>
      <c r="I16" s="122">
        <f>[6]ORÇAMENTO!X26</f>
        <v>20045.36</v>
      </c>
      <c r="J16" s="115"/>
      <c r="K16" s="115"/>
    </row>
    <row r="17" spans="1:11" s="116" customFormat="1" ht="15" customHeight="1">
      <c r="A17" s="117" t="s">
        <v>90</v>
      </c>
      <c r="B17" s="118"/>
      <c r="C17" s="118"/>
      <c r="D17" s="119" t="str">
        <f>[6]ORÇAMENTO!R27</f>
        <v>CONCRETO ARMADO PARA VERGAS</v>
      </c>
      <c r="E17" s="120"/>
      <c r="F17" s="121"/>
      <c r="G17" s="121"/>
      <c r="H17" s="121"/>
      <c r="I17" s="122">
        <f>SUM(I18:I22)</f>
        <v>20045.359999999997</v>
      </c>
      <c r="J17" s="115"/>
      <c r="K17" s="115"/>
    </row>
    <row r="18" spans="1:11" ht="21.75" customHeight="1">
      <c r="A18" s="94" t="s">
        <v>91</v>
      </c>
      <c r="B18" s="105" t="str">
        <f>[6]ORÇAMENTO!P28</f>
        <v>SINAPI</v>
      </c>
      <c r="C18" s="105" t="str">
        <f>[6]ORÇAMENTO!Q28</f>
        <v>93187</v>
      </c>
      <c r="D18" s="106" t="str">
        <f>[6]ORÇAMENTO!R28</f>
        <v>VERGA MOLDADA IN LOCO EM CONCRETO, ESPESSURA DE *20* CM. AF_03/2024</v>
      </c>
      <c r="E18" s="16" t="str">
        <f>[6]ORÇAMENTO!S28</f>
        <v>M</v>
      </c>
      <c r="F18" s="17">
        <f>[6]ORÇAMENTO!T28</f>
        <v>142.1</v>
      </c>
      <c r="G18" s="17">
        <f>[6]ORÇAMENTO!U28</f>
        <v>78.64</v>
      </c>
      <c r="H18" s="17">
        <f>[6]ORÇAMENTO!W28</f>
        <v>97.29</v>
      </c>
      <c r="I18" s="95">
        <f>[6]ORÇAMENTO!X28</f>
        <v>13824.91</v>
      </c>
    </row>
    <row r="19" spans="1:11" ht="30" customHeight="1">
      <c r="A19" s="94" t="s">
        <v>92</v>
      </c>
      <c r="B19" s="105" t="str">
        <f>[6]ORÇAMENTO!P31</f>
        <v>SINAPI</v>
      </c>
      <c r="C19" s="105" t="str">
        <f>[6]ORÇAMENTO!Q31</f>
        <v>92269</v>
      </c>
      <c r="D19" s="106" t="str">
        <f>[6]ORÇAMENTO!R31</f>
        <v>FABRICAÇÃO DE FÔRMA PARA PILARES E ESTRUTURAS SIMILARES, EM MADEIRA SERRADA, E=25 MM. AF_09/2020</v>
      </c>
      <c r="E19" s="16" t="str">
        <f>[6]ORÇAMENTO!S31</f>
        <v>M2</v>
      </c>
      <c r="F19" s="17">
        <f>[6]ORÇAMENTO!T31</f>
        <v>23.53</v>
      </c>
      <c r="G19" s="17">
        <f>[6]ORÇAMENTO!U31</f>
        <v>121.44</v>
      </c>
      <c r="H19" s="17">
        <f>[6]ORÇAMENTO!W31</f>
        <v>150.22999999999999</v>
      </c>
      <c r="I19" s="95">
        <f>[6]ORÇAMENTO!X31</f>
        <v>3534.91</v>
      </c>
    </row>
    <row r="20" spans="1:11" ht="39.9" customHeight="1">
      <c r="A20" s="94" t="s">
        <v>93</v>
      </c>
      <c r="B20" s="105" t="str">
        <f>[6]ORÇAMENTO!P32</f>
        <v>SINAPI</v>
      </c>
      <c r="C20" s="105">
        <f>[6]ORÇAMENTO!Q32</f>
        <v>92762</v>
      </c>
      <c r="D20" s="106" t="str">
        <f>[6]ORÇAMENTO!R32</f>
        <v>ARMAÇÃO DE PILAR OU VIGA DE ESTRUTURA CONVENCIONAL DE CONCRETO ARMADO UTILIZANDO AÇO CA-50 DE 10,0 MM - MONTAGEM. AF_06/2022</v>
      </c>
      <c r="E20" s="16" t="str">
        <f>[6]ORÇAMENTO!S32</f>
        <v>KG</v>
      </c>
      <c r="F20" s="17">
        <f>[6]ORÇAMENTO!T32</f>
        <v>68.180000000000007</v>
      </c>
      <c r="G20" s="17">
        <f>[6]ORÇAMENTO!U32</f>
        <v>11.43</v>
      </c>
      <c r="H20" s="17">
        <f>[6]ORÇAMENTO!W32</f>
        <v>14.14</v>
      </c>
      <c r="I20" s="95">
        <f>[6]ORÇAMENTO!X32</f>
        <v>964.07</v>
      </c>
    </row>
    <row r="21" spans="1:11" ht="37.5" customHeight="1">
      <c r="A21" s="94" t="s">
        <v>94</v>
      </c>
      <c r="B21" s="105" t="str">
        <f>[6]ORÇAMENTO!P33</f>
        <v>SINAPI</v>
      </c>
      <c r="C21" s="105">
        <f>[6]ORÇAMENTO!Q33</f>
        <v>92759</v>
      </c>
      <c r="D21" s="106" t="str">
        <f>[6]ORÇAMENTO!R33</f>
        <v>ARMAÇÃO DE PILAR OU VIGA DE ESTRUTURA CONVENCIONAL DE CONCRETO ARMADO UTILIZANDO AÇO CA-60 DE 5,0 MM - MONTAGEM. AF_06/2022</v>
      </c>
      <c r="E21" s="16" t="str">
        <f>[6]ORÇAMENTO!S33</f>
        <v>KG</v>
      </c>
      <c r="F21" s="17">
        <f>[6]ORÇAMENTO!T33</f>
        <v>28.36</v>
      </c>
      <c r="G21" s="17">
        <f>[6]ORÇAMENTO!U33</f>
        <v>14.64</v>
      </c>
      <c r="H21" s="17">
        <f>[6]ORÇAMENTO!W33</f>
        <v>18.11</v>
      </c>
      <c r="I21" s="95">
        <f>[6]ORÇAMENTO!X33</f>
        <v>513.6</v>
      </c>
    </row>
    <row r="22" spans="1:11" ht="30" customHeight="1">
      <c r="A22" s="94" t="s">
        <v>95</v>
      </c>
      <c r="B22" s="105" t="str">
        <f>[6]ORÇAMENTO!P34</f>
        <v>Composição</v>
      </c>
      <c r="C22" s="105" t="str">
        <f>[6]ORÇAMENTO!Q34</f>
        <v>073</v>
      </c>
      <c r="D22" s="106" t="str">
        <f>[6]ORÇAMENTO!R34</f>
        <v>CONCRETO BOMBEADO FCK=25MPA, INCLUINDO PREPARO, LANÇAMENTO E ADENSAMENTO.</v>
      </c>
      <c r="E22" s="16" t="str">
        <f>[6]ORÇAMENTO!S34</f>
        <v>M3</v>
      </c>
      <c r="F22" s="17">
        <f>[6]ORÇAMENTO!T34</f>
        <v>1.0900000000000001</v>
      </c>
      <c r="G22" s="17">
        <f>[6]ORÇAMENTO!U34</f>
        <v>895.76</v>
      </c>
      <c r="H22" s="17">
        <f>[6]ORÇAMENTO!W34</f>
        <v>1108.1400000000001</v>
      </c>
      <c r="I22" s="95">
        <f>[6]ORÇAMENTO!X34</f>
        <v>1207.8699999999999</v>
      </c>
    </row>
    <row r="23" spans="1:11" s="116" customFormat="1" ht="15" customHeight="1">
      <c r="A23" s="117">
        <v>3</v>
      </c>
      <c r="B23" s="118"/>
      <c r="C23" s="118"/>
      <c r="D23" s="119" t="str">
        <f>[6]ORÇAMENTO!R35</f>
        <v>SISTEMA DE VEDAÇÃO VERTICAL INTERNO E EXTERNO (PAREDES)</v>
      </c>
      <c r="E23" s="120"/>
      <c r="F23" s="121"/>
      <c r="G23" s="121"/>
      <c r="H23" s="121"/>
      <c r="I23" s="122">
        <f>[6]ORÇAMENTO!X35</f>
        <v>15043.79</v>
      </c>
      <c r="J23" s="115"/>
      <c r="K23" s="115"/>
    </row>
    <row r="24" spans="1:11" s="116" customFormat="1" ht="15" customHeight="1">
      <c r="A24" s="117" t="s">
        <v>96</v>
      </c>
      <c r="B24" s="118"/>
      <c r="C24" s="118"/>
      <c r="D24" s="119" t="str">
        <f>[6]ORÇAMENTO!R36</f>
        <v>ALVENARIA DE VEDAÇÃO</v>
      </c>
      <c r="E24" s="120"/>
      <c r="F24" s="121"/>
      <c r="G24" s="121"/>
      <c r="H24" s="121"/>
      <c r="I24" s="122">
        <f>[6]ORÇAMENTO!X36</f>
        <v>15043.79</v>
      </c>
      <c r="J24" s="115"/>
      <c r="K24" s="115"/>
    </row>
    <row r="25" spans="1:11" ht="42.75" customHeight="1">
      <c r="A25" s="94" t="s">
        <v>97</v>
      </c>
      <c r="B25" s="105" t="str">
        <f>[6]ORÇAMENTO!P37</f>
        <v>SINAPI</v>
      </c>
      <c r="C25" s="105" t="str">
        <f>[6]ORÇAMENTO!Q37</f>
        <v>102253</v>
      </c>
      <c r="D25" s="106" t="str">
        <f>[6]ORÇAMENTO!R37</f>
        <v>DIVISORIA SANITÁRIA, TIPO CABINE, EM GRANITO CINZA POLIDO, ESP = 3CM, ASSENTADO COM ARGAMASSA COLANTE AC III-E, EXCLUSIVE FERRAGENS. AF_01/2021</v>
      </c>
      <c r="E25" s="16" t="str">
        <f>[6]ORÇAMENTO!S37</f>
        <v>M2</v>
      </c>
      <c r="F25" s="17">
        <f>[6]ORÇAMENTO!T37</f>
        <v>11.32</v>
      </c>
      <c r="G25" s="17">
        <f>[6]ORÇAMENTO!U37</f>
        <v>900.16</v>
      </c>
      <c r="H25" s="17">
        <f>[6]ORÇAMENTO!W37</f>
        <v>1113.5899999999999</v>
      </c>
      <c r="I25" s="95">
        <f>[6]ORÇAMENTO!X37</f>
        <v>12605.84</v>
      </c>
    </row>
    <row r="26" spans="1:11" ht="37.5" customHeight="1">
      <c r="A26" s="94" t="s">
        <v>98</v>
      </c>
      <c r="B26" s="105" t="str">
        <f>[6]ORÇAMENTO!P38</f>
        <v>SINAPI</v>
      </c>
      <c r="C26" s="105" t="str">
        <f>[6]ORÇAMENTO!Q38</f>
        <v>103324</v>
      </c>
      <c r="D26" s="106" t="str">
        <f>[6]ORÇAMENTO!R38</f>
        <v>ALVENARIA DE VEDAÇÃO DE BLOCOS CERÂMICOS FURADOS NA VERTICAL DE 14X19X39 CM (ESPESSURA 14 CM) E ARGAMASSA DE ASSENTAMENTO COM PREPARO EM BETONEIRA. AF_12/2021</v>
      </c>
      <c r="E26" s="16" t="str">
        <f>[6]ORÇAMENTO!S38</f>
        <v>M2</v>
      </c>
      <c r="F26" s="17">
        <f>[6]ORÇAMENTO!T38</f>
        <v>23.85</v>
      </c>
      <c r="G26" s="17">
        <f>[6]ORÇAMENTO!U38</f>
        <v>82.63</v>
      </c>
      <c r="H26" s="17">
        <f>[6]ORÇAMENTO!W38</f>
        <v>102.22</v>
      </c>
      <c r="I26" s="95">
        <f>[6]ORÇAMENTO!X38</f>
        <v>2437.9499999999998</v>
      </c>
    </row>
    <row r="27" spans="1:11" s="116" customFormat="1" ht="15.75" customHeight="1">
      <c r="A27" s="117">
        <v>4</v>
      </c>
      <c r="B27" s="118"/>
      <c r="C27" s="118"/>
      <c r="D27" s="119" t="str">
        <f>[6]ORÇAMENTO!R40</f>
        <v xml:space="preserve">ESQUADRIAS </v>
      </c>
      <c r="E27" s="120"/>
      <c r="F27" s="121"/>
      <c r="G27" s="121"/>
      <c r="H27" s="121"/>
      <c r="I27" s="122">
        <f>[6]ORÇAMENTO!X40</f>
        <v>373787.96</v>
      </c>
      <c r="J27" s="115"/>
      <c r="K27" s="115"/>
    </row>
    <row r="28" spans="1:11" s="116" customFormat="1" ht="15" customHeight="1">
      <c r="A28" s="117" t="s">
        <v>99</v>
      </c>
      <c r="B28" s="118"/>
      <c r="C28" s="118"/>
      <c r="D28" s="119" t="str">
        <f>[6]ORÇAMENTO!R41</f>
        <v>PORTAS DE MADEIRA</v>
      </c>
      <c r="E28" s="120"/>
      <c r="F28" s="121"/>
      <c r="G28" s="121"/>
      <c r="H28" s="121"/>
      <c r="I28" s="122">
        <f>[6]ORÇAMENTO!X41</f>
        <v>37079.64</v>
      </c>
      <c r="J28" s="115"/>
      <c r="K28" s="115"/>
    </row>
    <row r="29" spans="1:11" ht="15" customHeight="1">
      <c r="A29" s="94" t="s">
        <v>100</v>
      </c>
      <c r="B29" s="105" t="str">
        <f>[6]ORÇAMENTO!P42</f>
        <v>Composição</v>
      </c>
      <c r="C29" s="105" t="str">
        <f>[6]ORÇAMENTO!Q42</f>
        <v>005</v>
      </c>
      <c r="D29" s="106" t="str">
        <f>[6]ORÇAMENTO!R42</f>
        <v>PORTA DE MADEIRA - PM1 - 70x210</v>
      </c>
      <c r="E29" s="16" t="str">
        <f>[6]ORÇAMENTO!S42</f>
        <v>UN</v>
      </c>
      <c r="F29" s="17">
        <f>[6]ORÇAMENTO!T42</f>
        <v>6</v>
      </c>
      <c r="G29" s="17">
        <f>[6]ORÇAMENTO!U42</f>
        <v>780.49</v>
      </c>
      <c r="H29" s="17">
        <f>[6]ORÇAMENTO!W42</f>
        <v>965.54</v>
      </c>
      <c r="I29" s="95">
        <f>[6]ORÇAMENTO!X42</f>
        <v>5793.24</v>
      </c>
    </row>
    <row r="30" spans="1:11" ht="15" customHeight="1">
      <c r="A30" s="94" t="s">
        <v>101</v>
      </c>
      <c r="B30" s="105" t="str">
        <f>[6]ORÇAMENTO!P43</f>
        <v>Composição</v>
      </c>
      <c r="C30" s="105" t="str">
        <f>[6]ORÇAMENTO!Q43</f>
        <v>006</v>
      </c>
      <c r="D30" s="106" t="str">
        <f>[6]ORÇAMENTO!R43</f>
        <v>PORTA DE MADEIRA  - PM2 - 80x210</v>
      </c>
      <c r="E30" s="16" t="str">
        <f>[6]ORÇAMENTO!S43</f>
        <v>UN</v>
      </c>
      <c r="F30" s="17">
        <f>[6]ORÇAMENTO!T43</f>
        <v>3</v>
      </c>
      <c r="G30" s="17">
        <f>[6]ORÇAMENTO!U43</f>
        <v>718.72</v>
      </c>
      <c r="H30" s="17">
        <f>[6]ORÇAMENTO!W43</f>
        <v>889.13</v>
      </c>
      <c r="I30" s="95">
        <f>[6]ORÇAMENTO!X43</f>
        <v>2667.39</v>
      </c>
    </row>
    <row r="31" spans="1:11" ht="15" customHeight="1">
      <c r="A31" s="94" t="s">
        <v>102</v>
      </c>
      <c r="B31" s="105" t="str">
        <f>[6]ORÇAMENTO!P44</f>
        <v>Composição</v>
      </c>
      <c r="C31" s="105" t="str">
        <f>[6]ORÇAMENTO!Q44</f>
        <v>007</v>
      </c>
      <c r="D31" s="106" t="str">
        <f>[6]ORÇAMENTO!R44</f>
        <v>PORTA DE MADEIRA - PM3 - 80x210</v>
      </c>
      <c r="E31" s="16" t="str">
        <f>[6]ORÇAMENTO!S44</f>
        <v>UN</v>
      </c>
      <c r="F31" s="17">
        <f>[6]ORÇAMENTO!T44</f>
        <v>3</v>
      </c>
      <c r="G31" s="17">
        <f>[6]ORÇAMENTO!U44</f>
        <v>1101.19</v>
      </c>
      <c r="H31" s="17">
        <f>[6]ORÇAMENTO!W44</f>
        <v>1362.28</v>
      </c>
      <c r="I31" s="95">
        <f>[6]ORÇAMENTO!X44</f>
        <v>4086.84</v>
      </c>
    </row>
    <row r="32" spans="1:11" ht="15" customHeight="1">
      <c r="A32" s="94" t="s">
        <v>103</v>
      </c>
      <c r="B32" s="105" t="str">
        <f>[6]ORÇAMENTO!P45</f>
        <v>Composição</v>
      </c>
      <c r="C32" s="105" t="str">
        <f>[6]ORÇAMENTO!Q45</f>
        <v>008</v>
      </c>
      <c r="D32" s="106" t="str">
        <f>[6]ORÇAMENTO!R45</f>
        <v>PORTA DE MADEIRA - PM4 - 80x210</v>
      </c>
      <c r="E32" s="16" t="str">
        <f>[6]ORÇAMENTO!S45</f>
        <v>UN</v>
      </c>
      <c r="F32" s="17">
        <f>[6]ORÇAMENTO!T45</f>
        <v>6</v>
      </c>
      <c r="G32" s="17">
        <f>[6]ORÇAMENTO!U45</f>
        <v>801.59</v>
      </c>
      <c r="H32" s="17">
        <f>[6]ORÇAMENTO!W45</f>
        <v>991.65</v>
      </c>
      <c r="I32" s="95">
        <f>[6]ORÇAMENTO!X45</f>
        <v>5949.9</v>
      </c>
    </row>
    <row r="33" spans="1:11" ht="16.5" customHeight="1">
      <c r="A33" s="94" t="s">
        <v>104</v>
      </c>
      <c r="B33" s="105" t="str">
        <f>[6]ORÇAMENTO!P46</f>
        <v>Composição</v>
      </c>
      <c r="C33" s="105" t="str">
        <f>[6]ORÇAMENTO!Q46</f>
        <v>009</v>
      </c>
      <c r="D33" s="106" t="str">
        <f>[6]ORÇAMENTO!R46</f>
        <v>PORTA DE MADEIRA - PM5 - 80x210</v>
      </c>
      <c r="E33" s="16" t="str">
        <f>[6]ORÇAMENTO!S46</f>
        <v>UN</v>
      </c>
      <c r="F33" s="17">
        <f>[6]ORÇAMENTO!T46</f>
        <v>5</v>
      </c>
      <c r="G33" s="17">
        <f>[6]ORÇAMENTO!U46</f>
        <v>1539.2</v>
      </c>
      <c r="H33" s="17">
        <f>[6]ORÇAMENTO!W46</f>
        <v>1904.14</v>
      </c>
      <c r="I33" s="95">
        <f>[6]ORÇAMENTO!X46</f>
        <v>9520.7000000000007</v>
      </c>
    </row>
    <row r="34" spans="1:11" ht="30" customHeight="1">
      <c r="A34" s="94" t="s">
        <v>105</v>
      </c>
      <c r="B34" s="105" t="str">
        <f>[6]ORÇAMENTO!P47</f>
        <v>Composição</v>
      </c>
      <c r="C34" s="105" t="str">
        <f>[6]ORÇAMENTO!Q47</f>
        <v>010</v>
      </c>
      <c r="D34" s="106" t="str">
        <f>[6]ORÇAMENTO!R47</f>
        <v>PM-1 - PORTA EM MADEIRA DE LEI, LISA, SEMI-ÔCA, 0.80 X 2.10 M, EXCLUSIVE FERRAGENS</v>
      </c>
      <c r="E34" s="16" t="str">
        <f>[6]ORÇAMENTO!S47</f>
        <v>UN</v>
      </c>
      <c r="F34" s="17">
        <f>[6]ORÇAMENTO!T47</f>
        <v>8</v>
      </c>
      <c r="G34" s="17">
        <f>[6]ORÇAMENTO!U47</f>
        <v>707.42</v>
      </c>
      <c r="H34" s="17">
        <f>[6]ORÇAMENTO!W47</f>
        <v>875.15</v>
      </c>
      <c r="I34" s="95">
        <f>[6]ORÇAMENTO!X47</f>
        <v>7001.2</v>
      </c>
    </row>
    <row r="35" spans="1:11" ht="27" customHeight="1">
      <c r="A35" s="94" t="s">
        <v>106</v>
      </c>
      <c r="B35" s="105" t="str">
        <f>[6]ORÇAMENTO!P48</f>
        <v>Composição</v>
      </c>
      <c r="C35" s="105" t="str">
        <f>[6]ORÇAMENTO!Q48</f>
        <v>011</v>
      </c>
      <c r="D35" s="106" t="str">
        <f>[6]ORÇAMENTO!R48</f>
        <v>CHAPA METALICA 0,8*0,4X 1MM PARA AS PORTAS - FORNECIMENTO E INSTALAÇÃO</v>
      </c>
      <c r="E35" s="16" t="str">
        <f>[6]ORÇAMENTO!S48</f>
        <v>M2</v>
      </c>
      <c r="F35" s="17">
        <f>[6]ORÇAMENTO!T48</f>
        <v>15.4</v>
      </c>
      <c r="G35" s="17">
        <f>[6]ORÇAMENTO!U48</f>
        <v>108.15</v>
      </c>
      <c r="H35" s="17">
        <f>[6]ORÇAMENTO!W48</f>
        <v>133.79</v>
      </c>
      <c r="I35" s="95">
        <f>[6]ORÇAMENTO!X48</f>
        <v>2060.37</v>
      </c>
    </row>
    <row r="36" spans="1:11" s="116" customFormat="1" ht="15" customHeight="1">
      <c r="A36" s="117" t="s">
        <v>108</v>
      </c>
      <c r="B36" s="118"/>
      <c r="C36" s="118"/>
      <c r="D36" s="119" t="str">
        <f>[6]ORÇAMENTO!R50</f>
        <v>FERRAGENS E ACESSÓRIOS</v>
      </c>
      <c r="E36" s="120"/>
      <c r="F36" s="121"/>
      <c r="G36" s="121"/>
      <c r="H36" s="121"/>
      <c r="I36" s="122">
        <f>[6]ORÇAMENTO!X50</f>
        <v>4154.62</v>
      </c>
      <c r="J36" s="115"/>
      <c r="K36" s="115"/>
    </row>
    <row r="37" spans="1:11" ht="39.75" customHeight="1">
      <c r="A37" s="94" t="s">
        <v>109</v>
      </c>
      <c r="B37" s="105" t="str">
        <f>[6]ORÇAMENTO!P51</f>
        <v>SINAPI</v>
      </c>
      <c r="C37" s="105" t="str">
        <f>[6]ORÇAMENTO!Q51</f>
        <v>91307</v>
      </c>
      <c r="D37" s="106" t="str">
        <f>[6]ORÇAMENTO!R51</f>
        <v>FECHADURA DE EMBUTIR PARA PORTAS INTERNAS, COMPLETA, ACABAMENTO PADRÃO POPULAR, COM EXECUÇÃO DE FURO - FORNECIMENTO E INSTALAÇÃO. AF_12/2019</v>
      </c>
      <c r="E37" s="16" t="str">
        <f>[6]ORÇAMENTO!S51</f>
        <v>UN</v>
      </c>
      <c r="F37" s="17">
        <f>[6]ORÇAMENTO!T51</f>
        <v>31</v>
      </c>
      <c r="G37" s="17">
        <f>[6]ORÇAMENTO!U51</f>
        <v>108.33</v>
      </c>
      <c r="H37" s="17">
        <f>[6]ORÇAMENTO!W51</f>
        <v>134.02000000000001</v>
      </c>
      <c r="I37" s="95">
        <f>[6]ORÇAMENTO!X51</f>
        <v>4154.62</v>
      </c>
    </row>
    <row r="38" spans="1:11" s="116" customFormat="1" ht="15" customHeight="1">
      <c r="A38" s="117" t="s">
        <v>110</v>
      </c>
      <c r="B38" s="118"/>
      <c r="C38" s="118"/>
      <c r="D38" s="119" t="str">
        <f>[6]ORÇAMENTO!R52</f>
        <v>PORTAS EM ALUMÍNIO</v>
      </c>
      <c r="E38" s="120"/>
      <c r="F38" s="121"/>
      <c r="G38" s="121"/>
      <c r="H38" s="121"/>
      <c r="I38" s="122">
        <f>[6]ORÇAMENTO!X52</f>
        <v>82250.86</v>
      </c>
      <c r="J38" s="115"/>
      <c r="K38" s="115"/>
    </row>
    <row r="39" spans="1:11" ht="15" customHeight="1">
      <c r="A39" s="94" t="s">
        <v>111</v>
      </c>
      <c r="B39" s="105" t="str">
        <f>[6]ORÇAMENTO!P53</f>
        <v>Composição</v>
      </c>
      <c r="C39" s="105" t="str">
        <f>[6]ORÇAMENTO!Q53</f>
        <v>012</v>
      </c>
      <c r="D39" s="106" t="str">
        <f>[6]ORÇAMENTO!R53</f>
        <v>PORTA DE ABRIR - PA 5 - 120x185</v>
      </c>
      <c r="E39" s="16" t="str">
        <f>[6]ORÇAMENTO!S53</f>
        <v>UN</v>
      </c>
      <c r="F39" s="17">
        <f>[6]ORÇAMENTO!T53</f>
        <v>2.2200000000000002</v>
      </c>
      <c r="G39" s="17">
        <f>[6]ORÇAMENTO!U53</f>
        <v>1834.52</v>
      </c>
      <c r="H39" s="17">
        <f>[6]ORÇAMENTO!W53</f>
        <v>2269.48</v>
      </c>
      <c r="I39" s="95">
        <f>[6]ORÇAMENTO!X53</f>
        <v>5038.25</v>
      </c>
    </row>
    <row r="40" spans="1:11" ht="30" customHeight="1">
      <c r="A40" s="94" t="s">
        <v>112</v>
      </c>
      <c r="B40" s="105" t="str">
        <f>[6]ORÇAMENTO!P54</f>
        <v>Composição</v>
      </c>
      <c r="C40" s="105" t="str">
        <f>[6]ORÇAMENTO!Q54</f>
        <v>068</v>
      </c>
      <c r="D40" s="107" t="str">
        <f>[6]ORÇAMENTO!R54</f>
        <v>PORTA DE ABRIR - PA1 - 100X210 EM CHAPA DE ALUMÍNIO E VENEZIANA- CONFORME PROJETO DE ESQUADRIAS, INCLUSIVE FERRAGENS</v>
      </c>
      <c r="E40" s="16" t="str">
        <f>[6]ORÇAMENTO!S54</f>
        <v>M2</v>
      </c>
      <c r="F40" s="17">
        <f>[6]ORÇAMENTO!T54</f>
        <v>2.1</v>
      </c>
      <c r="G40" s="17">
        <f>[6]ORÇAMENTO!U54</f>
        <v>923.39</v>
      </c>
      <c r="H40" s="17">
        <f>[6]ORÇAMENTO!W54</f>
        <v>1142.33</v>
      </c>
      <c r="I40" s="95">
        <f>[6]ORÇAMENTO!X54</f>
        <v>2398.89</v>
      </c>
    </row>
    <row r="41" spans="1:11" ht="36" customHeight="1">
      <c r="A41" s="94" t="s">
        <v>113</v>
      </c>
      <c r="B41" s="105" t="str">
        <f>[6]ORÇAMENTO!P55</f>
        <v>Composição</v>
      </c>
      <c r="C41" s="105" t="str">
        <f>[6]ORÇAMENTO!Q55</f>
        <v>069</v>
      </c>
      <c r="D41" s="107" t="str">
        <f>[6]ORÇAMENTO!R55</f>
        <v>PORTA DE ABRIR - PA2 - 80X210 EM CHAPA DE ALUMÍNIO COM VENEZIANA- CONFORME PROJETO DE ESQUADRIAS, INCLUSIVE FERRAGENS</v>
      </c>
      <c r="E41" s="16" t="str">
        <f>[6]ORÇAMENTO!S55</f>
        <v>M2</v>
      </c>
      <c r="F41" s="17">
        <f>[6]ORÇAMENTO!T55</f>
        <v>1.68</v>
      </c>
      <c r="G41" s="17">
        <f>[6]ORÇAMENTO!U55</f>
        <v>826.39</v>
      </c>
      <c r="H41" s="17">
        <f>[6]ORÇAMENTO!W55</f>
        <v>1022.33</v>
      </c>
      <c r="I41" s="95">
        <f>[6]ORÇAMENTO!X55</f>
        <v>1717.51</v>
      </c>
    </row>
    <row r="42" spans="1:11" ht="39.9" customHeight="1">
      <c r="A42" s="94" t="s">
        <v>114</v>
      </c>
      <c r="B42" s="105" t="str">
        <f>[6]ORÇAMENTO!P56</f>
        <v>Composição</v>
      </c>
      <c r="C42" s="105" t="str">
        <f>[6]ORÇAMENTO!Q56</f>
        <v>070</v>
      </c>
      <c r="D42" s="107" t="str">
        <f>[6]ORÇAMENTO!R56</f>
        <v>PORTA DE ABRIR - PA3 - 160X210 EM CHAPA DE ALUMÍNIO COM VENEZIANA- CONFORME PROJETO DE ESQUADRIAS, INCLUSIVE FERRAGENS</v>
      </c>
      <c r="E42" s="16" t="str">
        <f>[6]ORÇAMENTO!S56</f>
        <v>M2</v>
      </c>
      <c r="F42" s="17">
        <f>[6]ORÇAMENTO!T56</f>
        <v>3.36</v>
      </c>
      <c r="G42" s="17">
        <f>[6]ORÇAMENTO!U56</f>
        <v>842.29</v>
      </c>
      <c r="H42" s="17">
        <f>[6]ORÇAMENTO!W56</f>
        <v>1042</v>
      </c>
      <c r="I42" s="95">
        <f>[6]ORÇAMENTO!X56</f>
        <v>3501.12</v>
      </c>
    </row>
    <row r="43" spans="1:11" ht="24.9" customHeight="1">
      <c r="A43" s="94" t="s">
        <v>115</v>
      </c>
      <c r="B43" s="105" t="str">
        <f>[6]ORÇAMENTO!P57</f>
        <v>Composição</v>
      </c>
      <c r="C43" s="105" t="str">
        <f>[6]ORÇAMENTO!Q57</f>
        <v>071</v>
      </c>
      <c r="D43" s="106" t="str">
        <f>[6]ORÇAMENTO!R57</f>
        <v>PORTA DE CORRER DE VIDRO - PA4 - 450X210  CONFORME PROJETO DE ESQUADRIAS, INCLUSIVE FERRAGENS</v>
      </c>
      <c r="E43" s="16" t="str">
        <f>[6]ORÇAMENTO!S57</f>
        <v>M2</v>
      </c>
      <c r="F43" s="17">
        <f>[6]ORÇAMENTO!T57</f>
        <v>66.150000000000006</v>
      </c>
      <c r="G43" s="17">
        <f>[6]ORÇAMENTO!U57</f>
        <v>850.44</v>
      </c>
      <c r="H43" s="17">
        <f>[6]ORÇAMENTO!W57</f>
        <v>1052.08</v>
      </c>
      <c r="I43" s="95">
        <f>[6]ORÇAMENTO!X57</f>
        <v>69595.09</v>
      </c>
    </row>
    <row r="44" spans="1:11" s="116" customFormat="1" ht="15" customHeight="1">
      <c r="A44" s="117" t="s">
        <v>116</v>
      </c>
      <c r="B44" s="118"/>
      <c r="C44" s="118"/>
      <c r="D44" s="119" t="str">
        <f>[6]ORÇAMENTO!R58</f>
        <v xml:space="preserve">JANELAS DE ALUMÍNIO - JA </v>
      </c>
      <c r="E44" s="120"/>
      <c r="F44" s="121"/>
      <c r="G44" s="121"/>
      <c r="H44" s="121"/>
      <c r="I44" s="122">
        <f>[6]ORÇAMENTO!X58</f>
        <v>55116</v>
      </c>
      <c r="J44" s="115"/>
      <c r="K44" s="115"/>
    </row>
    <row r="45" spans="1:11" ht="24.9" customHeight="1">
      <c r="A45" s="94" t="s">
        <v>117</v>
      </c>
      <c r="B45" s="105" t="str">
        <f>[6]ORÇAMENTO!P59</f>
        <v>Composição</v>
      </c>
      <c r="C45" s="105" t="str">
        <f>[6]ORÇAMENTO!Q59</f>
        <v>057</v>
      </c>
      <c r="D45" s="106" t="str">
        <f>[6]ORÇAMENTO!R59</f>
        <v>JANELA DE ALUMÍNIO - JA-01, 70X125, COMPLETA CONFORME PROJETO DE ESQUADRIAS - GUILHOTINA</v>
      </c>
      <c r="E45" s="16" t="str">
        <f>[6]ORÇAMENTO!S59</f>
        <v>M2</v>
      </c>
      <c r="F45" s="17">
        <f>[6]ORÇAMENTO!T59</f>
        <v>0.88</v>
      </c>
      <c r="G45" s="17">
        <f>[6]ORÇAMENTO!U59</f>
        <v>389.74</v>
      </c>
      <c r="H45" s="17">
        <f>[6]ORÇAMENTO!W59</f>
        <v>482.15</v>
      </c>
      <c r="I45" s="95">
        <f>[6]ORÇAMENTO!X59</f>
        <v>424.29</v>
      </c>
    </row>
    <row r="46" spans="1:11" ht="24.9" customHeight="1">
      <c r="A46" s="94" t="s">
        <v>118</v>
      </c>
      <c r="B46" s="105" t="str">
        <f>[6]ORÇAMENTO!P60</f>
        <v>Composição</v>
      </c>
      <c r="C46" s="105" t="str">
        <f>[6]ORÇAMENTO!Q60</f>
        <v>058</v>
      </c>
      <c r="D46" s="106" t="str">
        <f>[6]ORÇAMENTO!R60</f>
        <v>JANELA DE ALUMÍNIO - JA-02, 110X195, COMPLETA CONFORME PROJETO DE ESQUADRIAS - GUILHOTINA</v>
      </c>
      <c r="E46" s="16" t="str">
        <f>[6]ORÇAMENTO!S60</f>
        <v>M2</v>
      </c>
      <c r="F46" s="17">
        <f>[6]ORÇAMENTO!T60</f>
        <v>2.15</v>
      </c>
      <c r="G46" s="17">
        <f>[6]ORÇAMENTO!U60</f>
        <v>389.74</v>
      </c>
      <c r="H46" s="17">
        <f>[6]ORÇAMENTO!W60</f>
        <v>482.15</v>
      </c>
      <c r="I46" s="95">
        <f>[6]ORÇAMENTO!X60</f>
        <v>1036.6199999999999</v>
      </c>
    </row>
    <row r="47" spans="1:11" ht="24.9" customHeight="1">
      <c r="A47" s="94" t="s">
        <v>119</v>
      </c>
      <c r="B47" s="105" t="str">
        <f>[6]ORÇAMENTO!P61</f>
        <v>Composição</v>
      </c>
      <c r="C47" s="105" t="str">
        <f>[6]ORÇAMENTO!Q61</f>
        <v>059</v>
      </c>
      <c r="D47" s="106" t="str">
        <f>[6]ORÇAMENTO!R61</f>
        <v>VIDRO FIXO - JA-03, 140X115, COMPLETA CONFORME PROJETO DE ESQUADRIAS</v>
      </c>
      <c r="E47" s="16" t="str">
        <f>[6]ORÇAMENTO!S61</f>
        <v>M2</v>
      </c>
      <c r="F47" s="17">
        <f>[6]ORÇAMENTO!T61</f>
        <v>1.61</v>
      </c>
      <c r="G47" s="17">
        <f>[6]ORÇAMENTO!U61</f>
        <v>848.45</v>
      </c>
      <c r="H47" s="17">
        <f>[6]ORÇAMENTO!W61</f>
        <v>1049.6199999999999</v>
      </c>
      <c r="I47" s="95">
        <f>[6]ORÇAMENTO!X61</f>
        <v>1689.89</v>
      </c>
    </row>
    <row r="48" spans="1:11" ht="24.9" customHeight="1">
      <c r="A48" s="94" t="s">
        <v>120</v>
      </c>
      <c r="B48" s="105" t="str">
        <f>[6]ORÇAMENTO!P62</f>
        <v>Composição</v>
      </c>
      <c r="C48" s="105" t="str">
        <f>[6]ORÇAMENTO!Q62</f>
        <v>060</v>
      </c>
      <c r="D48" s="106" t="str">
        <f>[6]ORÇAMENTO!R62</f>
        <v>JANELA DE ALUMÍNIO - JA-04, 140X195, COMPLETA CONFORME PROJETO DE ESQUADRIAS - GUILHOTINA</v>
      </c>
      <c r="E48" s="16" t="str">
        <f>[6]ORÇAMENTO!S62</f>
        <v>M2</v>
      </c>
      <c r="F48" s="17">
        <f>[6]ORÇAMENTO!T62</f>
        <v>2.73</v>
      </c>
      <c r="G48" s="17">
        <f>[6]ORÇAMENTO!U62</f>
        <v>389.74</v>
      </c>
      <c r="H48" s="17">
        <f>[6]ORÇAMENTO!W62</f>
        <v>482.15</v>
      </c>
      <c r="I48" s="95">
        <f>[6]ORÇAMENTO!X62</f>
        <v>1316.27</v>
      </c>
    </row>
    <row r="49" spans="1:13" ht="39.9" customHeight="1">
      <c r="A49" s="94" t="s">
        <v>121</v>
      </c>
      <c r="B49" s="105" t="str">
        <f>[6]ORÇAMENTO!P63</f>
        <v>Composição</v>
      </c>
      <c r="C49" s="105" t="str">
        <f>[6]ORÇAMENTO!Q63</f>
        <v>061</v>
      </c>
      <c r="D49" s="106" t="str">
        <f>[6]ORÇAMENTO!R63</f>
        <v>JANELA DE ALUMÍNIO - JA-06, 210X50, COMPLETA CONFORME PROJETO DE ESQUADRIAS - MAXIM-AR - INCLUSO VIDRO LISO INCOLOR, ESPESSURA 6MM</v>
      </c>
      <c r="E49" s="16" t="str">
        <f>[6]ORÇAMENTO!S63</f>
        <v>M2</v>
      </c>
      <c r="F49" s="17">
        <f>[6]ORÇAMENTO!T63</f>
        <v>1.05</v>
      </c>
      <c r="G49" s="17">
        <f>[6]ORÇAMENTO!U63</f>
        <v>905.5</v>
      </c>
      <c r="H49" s="17">
        <f>[6]ORÇAMENTO!W63</f>
        <v>1120.19</v>
      </c>
      <c r="I49" s="95">
        <f>[6]ORÇAMENTO!X63</f>
        <v>1176.2</v>
      </c>
    </row>
    <row r="50" spans="1:13" ht="35.1" customHeight="1">
      <c r="A50" s="94" t="s">
        <v>122</v>
      </c>
      <c r="B50" s="105" t="str">
        <f>[6]ORÇAMENTO!P64</f>
        <v>Composição</v>
      </c>
      <c r="C50" s="105" t="str">
        <f>[6]ORÇAMENTO!Q64</f>
        <v>062</v>
      </c>
      <c r="D50" s="106" t="str">
        <f>[6]ORÇAMENTO!R64</f>
        <v>JANELA DE ALUMÍNIO - JA-08, 210X100, COMPLETA CONFORME PROJETO DE ESQUADRIAS - MAXIM-AR - INCLUSO VIDRO LISO INCOLOR, ESPESSURA 6MM</v>
      </c>
      <c r="E50" s="16" t="str">
        <f>[6]ORÇAMENTO!S64</f>
        <v>M2</v>
      </c>
      <c r="F50" s="17">
        <f>[6]ORÇAMENTO!T64</f>
        <v>8.4</v>
      </c>
      <c r="G50" s="17">
        <f>[6]ORÇAMENTO!U64</f>
        <v>905.5</v>
      </c>
      <c r="H50" s="17">
        <f>[6]ORÇAMENTO!W64</f>
        <v>1120.19</v>
      </c>
      <c r="I50" s="95">
        <f>[6]ORÇAMENTO!X64</f>
        <v>9409.6</v>
      </c>
    </row>
    <row r="51" spans="1:13" ht="35.1" customHeight="1">
      <c r="A51" s="94" t="s">
        <v>123</v>
      </c>
      <c r="B51" s="105" t="str">
        <f>[6]ORÇAMENTO!P65</f>
        <v>Composição</v>
      </c>
      <c r="C51" s="105" t="str">
        <f>[6]ORÇAMENTO!Q65</f>
        <v>063</v>
      </c>
      <c r="D51" s="106" t="str">
        <f>[6]ORÇAMENTO!R65</f>
        <v>JANELA DE ALUMÍNIO - JA-09, 210X150, COMPLETA CONFORME PROJETO DE ESQUADRIAS - MAXIM-AR - INCLUSO VIDRO LISO INCOLOR, ESPESSURA 6MM</v>
      </c>
      <c r="E51" s="16" t="str">
        <f>[6]ORÇAMENTO!S65</f>
        <v>M2</v>
      </c>
      <c r="F51" s="17">
        <f>[6]ORÇAMENTO!T65</f>
        <v>6.3</v>
      </c>
      <c r="G51" s="17">
        <f>[6]ORÇAMENTO!U65</f>
        <v>905.5</v>
      </c>
      <c r="H51" s="17">
        <f>[6]ORÇAMENTO!W65</f>
        <v>1120.19</v>
      </c>
      <c r="I51" s="95">
        <f>[6]ORÇAMENTO!X65</f>
        <v>7057.2</v>
      </c>
    </row>
    <row r="52" spans="1:13" ht="35.1" customHeight="1">
      <c r="A52" s="94" t="s">
        <v>124</v>
      </c>
      <c r="B52" s="105" t="str">
        <f>[6]ORÇAMENTO!P66</f>
        <v>Composição</v>
      </c>
      <c r="C52" s="105" t="str">
        <f>[6]ORÇAMENTO!Q66</f>
        <v>064</v>
      </c>
      <c r="D52" s="106" t="str">
        <f>[6]ORÇAMENTO!R66</f>
        <v>JANELA DE ALUMÍNIO - JA-10, 70*75, COMPLETA CONFORME PROJETO DE ESQUADRIAS - MAXIM-AR - INCLUSO VIDRO LISO INCOLOR, ESPESSURA 6MM</v>
      </c>
      <c r="E52" s="16" t="str">
        <f>[6]ORÇAMENTO!S66</f>
        <v>M2</v>
      </c>
      <c r="F52" s="17">
        <f>[6]ORÇAMENTO!T66</f>
        <v>1.05</v>
      </c>
      <c r="G52" s="17">
        <f>[6]ORÇAMENTO!U66</f>
        <v>905.5</v>
      </c>
      <c r="H52" s="17">
        <f>[6]ORÇAMENTO!W66</f>
        <v>1120.19</v>
      </c>
      <c r="I52" s="95">
        <f>[6]ORÇAMENTO!X66</f>
        <v>1176.2</v>
      </c>
    </row>
    <row r="53" spans="1:13" ht="35.1" customHeight="1">
      <c r="A53" s="94" t="s">
        <v>125</v>
      </c>
      <c r="B53" s="105" t="str">
        <f>[6]ORÇAMENTO!P67</f>
        <v>Composição</v>
      </c>
      <c r="C53" s="105" t="str">
        <f>[6]ORÇAMENTO!Q67</f>
        <v>065</v>
      </c>
      <c r="D53" s="106" t="str">
        <f>[6]ORÇAMENTO!R67</f>
        <v>JANELA DE ALUMÍNIO - JA-11, 140X75, COMPLETA CONFORME PROJETO DE ESQUADRIAS - MAXIM-AR - INCLUSO VIDRO LISO INCOLOR, ESPESSURA 6MM</v>
      </c>
      <c r="E53" s="16" t="str">
        <f>[6]ORÇAMENTO!S67</f>
        <v>M2</v>
      </c>
      <c r="F53" s="17">
        <f>[6]ORÇAMENTO!T67</f>
        <v>5.25</v>
      </c>
      <c r="G53" s="17">
        <f>[6]ORÇAMENTO!U67</f>
        <v>905.5</v>
      </c>
      <c r="H53" s="17">
        <f>[6]ORÇAMENTO!W67</f>
        <v>1120.19</v>
      </c>
      <c r="I53" s="95">
        <f>[6]ORÇAMENTO!X67</f>
        <v>5881</v>
      </c>
    </row>
    <row r="54" spans="1:13" ht="35.1" customHeight="1">
      <c r="A54" s="94" t="s">
        <v>126</v>
      </c>
      <c r="B54" s="105" t="str">
        <f>[6]ORÇAMENTO!P68</f>
        <v>Composição</v>
      </c>
      <c r="C54" s="105" t="str">
        <f>[6]ORÇAMENTO!Q68</f>
        <v>066</v>
      </c>
      <c r="D54" s="106" t="str">
        <f>[6]ORÇAMENTO!R68</f>
        <v>JANELA DE ALUMÍNIO - JA-12, 420X50, COMPLETA CONFORME PROJETO DE ESQUADRIAS - MAXIM-AR - INCLUSO VIDRO LISO INCOLOR, ESPESSURA 6MM</v>
      </c>
      <c r="E54" s="16" t="str">
        <f>[6]ORÇAMENTO!S68</f>
        <v>M2</v>
      </c>
      <c r="F54" s="17">
        <f>[6]ORÇAMENTO!T68</f>
        <v>4.2</v>
      </c>
      <c r="G54" s="17">
        <f>[6]ORÇAMENTO!U68</f>
        <v>905.5</v>
      </c>
      <c r="H54" s="17">
        <f>[6]ORÇAMENTO!W68</f>
        <v>1120.19</v>
      </c>
      <c r="I54" s="95">
        <f>[6]ORÇAMENTO!X68</f>
        <v>4704.8</v>
      </c>
    </row>
    <row r="55" spans="1:13" ht="35.1" customHeight="1">
      <c r="A55" s="94" t="s">
        <v>127</v>
      </c>
      <c r="B55" s="105" t="str">
        <f>[6]ORÇAMENTO!P69</f>
        <v>Composição</v>
      </c>
      <c r="C55" s="105" t="str">
        <f>[6]ORÇAMENTO!Q69</f>
        <v>067</v>
      </c>
      <c r="D55" s="106" t="str">
        <f>[6]ORÇAMENTO!R69</f>
        <v>JANELA DE ALUMÍNIO - JA-13, 560X100, COMPLETA CONFORME PROJETO DE ESQUADRIAS - MAXIM-AR - INCLUSO VIDRO LISO INCOLOR, ESPESSURA 6MM</v>
      </c>
      <c r="E55" s="16" t="str">
        <f>[6]ORÇAMENTO!S69</f>
        <v>M2</v>
      </c>
      <c r="F55" s="17">
        <f>[6]ORÇAMENTO!T69</f>
        <v>16.8</v>
      </c>
      <c r="G55" s="17">
        <f>[6]ORÇAMENTO!U69</f>
        <v>905.5</v>
      </c>
      <c r="H55" s="17">
        <f>[6]ORÇAMENTO!W69</f>
        <v>1120.19</v>
      </c>
      <c r="I55" s="95">
        <f>[6]ORÇAMENTO!X69</f>
        <v>18819.189999999999</v>
      </c>
    </row>
    <row r="56" spans="1:13" ht="24.9" customHeight="1">
      <c r="A56" s="94" t="s">
        <v>128</v>
      </c>
      <c r="B56" s="105" t="str">
        <f>[6]ORÇAMENTO!P70</f>
        <v>Composição</v>
      </c>
      <c r="C56" s="105" t="str">
        <f>[6]ORÇAMENTO!Q70</f>
        <v>013</v>
      </c>
      <c r="D56" s="106" t="str">
        <f>[6]ORÇAMENTO!R70</f>
        <v>PORTA DE VIDRO TEMPERADO - PV1 - 175x230</v>
      </c>
      <c r="E56" s="16" t="str">
        <f>[6]ORÇAMENTO!S70</f>
        <v>UN</v>
      </c>
      <c r="F56" s="17">
        <f>[6]ORÇAMENTO!T70</f>
        <v>1</v>
      </c>
      <c r="G56" s="17">
        <f>[6]ORÇAMENTO!U70</f>
        <v>1960.02</v>
      </c>
      <c r="H56" s="17">
        <f>[6]ORÇAMENTO!W70</f>
        <v>2424.7399999999998</v>
      </c>
      <c r="I56" s="95">
        <f>[6]ORÇAMENTO!X70</f>
        <v>2424.7399999999998</v>
      </c>
    </row>
    <row r="57" spans="1:13" s="116" customFormat="1" ht="24.9" customHeight="1">
      <c r="A57" s="117" t="s">
        <v>129</v>
      </c>
      <c r="B57" s="118"/>
      <c r="C57" s="118"/>
      <c r="D57" s="119" t="str">
        <f>[6]ORÇAMENTO!R71</f>
        <v xml:space="preserve">JANELAS DE ALUMÍNIO - JA </v>
      </c>
      <c r="E57" s="120"/>
      <c r="F57" s="121"/>
      <c r="G57" s="121"/>
      <c r="H57" s="121"/>
      <c r="I57" s="122">
        <f>[6]ORÇAMENTO!X71</f>
        <v>3566.5</v>
      </c>
      <c r="J57" s="115"/>
      <c r="K57" s="115"/>
    </row>
    <row r="58" spans="1:13" ht="24.9" customHeight="1">
      <c r="A58" s="94" t="s">
        <v>130</v>
      </c>
      <c r="B58" s="105" t="str">
        <f>[6]ORÇAMENTO!P72</f>
        <v>Composição</v>
      </c>
      <c r="C58" s="105" t="str">
        <f>[6]ORÇAMENTO!Q72</f>
        <v>014</v>
      </c>
      <c r="D58" s="106" t="str">
        <f>[6]ORÇAMENTO!R72</f>
        <v>PM-7 - PORTA EM MADEIRA DE LEI, LISA, SEMI-ÔCA, 0.80 X 1.60 M, COM BATENTES, FERRAGENS E BARRA PARA PNE</v>
      </c>
      <c r="E58" s="16" t="str">
        <f>[6]ORÇAMENTO!S72</f>
        <v>UN</v>
      </c>
      <c r="F58" s="17">
        <f>[6]ORÇAMENTO!T72</f>
        <v>3.15</v>
      </c>
      <c r="G58" s="17">
        <f>[6]ORÇAMENTO!U72</f>
        <v>905.5</v>
      </c>
      <c r="H58" s="17">
        <f>[6]ORÇAMENTO!W72</f>
        <v>1120.19</v>
      </c>
      <c r="I58" s="95">
        <f>[6]ORÇAMENTO!X72</f>
        <v>3528.6</v>
      </c>
    </row>
    <row r="59" spans="1:13" ht="24.9" customHeight="1">
      <c r="A59" s="94" t="s">
        <v>131</v>
      </c>
      <c r="B59" s="105" t="str">
        <f>[6]ORÇAMENTO!P73</f>
        <v>SINAPI-I</v>
      </c>
      <c r="C59" s="105">
        <f>[6]ORÇAMENTO!Q73</f>
        <v>36887</v>
      </c>
      <c r="D59" s="106" t="str">
        <f>[6]ORÇAMENTO!R73</f>
        <v>TELA DE FIBRA DE VIDRO, ACABAMENTO ANTI-ALCALINO, MALHA 10 X 10 MM</v>
      </c>
      <c r="E59" s="16" t="str">
        <f>[6]ORÇAMENTO!S73</f>
        <v>M2</v>
      </c>
      <c r="F59" s="17">
        <f>[6]ORÇAMENTO!T73</f>
        <v>1.88</v>
      </c>
      <c r="G59" s="17">
        <f>[6]ORÇAMENTO!U73</f>
        <v>16.3</v>
      </c>
      <c r="H59" s="17">
        <f>[6]ORÇAMENTO!W73</f>
        <v>20.16</v>
      </c>
      <c r="I59" s="95">
        <f>[6]ORÇAMENTO!X73</f>
        <v>37.9</v>
      </c>
    </row>
    <row r="60" spans="1:13" s="123" customFormat="1" ht="15" customHeight="1">
      <c r="A60" s="117" t="s">
        <v>132</v>
      </c>
      <c r="B60" s="118"/>
      <c r="C60" s="118"/>
      <c r="D60" s="119" t="str">
        <f>[6]ORÇAMENTO!R74</f>
        <v>VIDROS</v>
      </c>
      <c r="E60" s="120"/>
      <c r="F60" s="121"/>
      <c r="G60" s="121"/>
      <c r="H60" s="121"/>
      <c r="I60" s="122">
        <f>[6]ORÇAMENTO!X74</f>
        <v>8905.3799999999992</v>
      </c>
      <c r="J60" s="115"/>
      <c r="K60" s="115"/>
      <c r="L60" s="116"/>
      <c r="M60" s="116"/>
    </row>
    <row r="61" spans="1:13" ht="24">
      <c r="A61" s="94" t="s">
        <v>133</v>
      </c>
      <c r="B61" s="105" t="str">
        <f>[6]ORÇAMENTO!P75</f>
        <v>SINAPI</v>
      </c>
      <c r="C61" s="105" t="str">
        <f>[6]ORÇAMENTO!Q75</f>
        <v>102179</v>
      </c>
      <c r="D61" s="106" t="str">
        <f>[6]ORÇAMENTO!R75</f>
        <v>INSTALAÇÃO DE VIDRO TEMPERADO, E = 6 MM, ENCAIXADO EM PERFIL U. AF_01/2021_PS</v>
      </c>
      <c r="E61" s="16" t="str">
        <f>[6]ORÇAMENTO!S75</f>
        <v>M2</v>
      </c>
      <c r="F61" s="17">
        <f>[6]ORÇAMENTO!T75</f>
        <v>9.4600000000000009</v>
      </c>
      <c r="G61" s="17">
        <f>[6]ORÇAMENTO!U75</f>
        <v>324.58999999999997</v>
      </c>
      <c r="H61" s="17">
        <f>[6]ORÇAMENTO!W75</f>
        <v>401.55</v>
      </c>
      <c r="I61" s="95">
        <f>[6]ORÇAMENTO!X75</f>
        <v>3798.66</v>
      </c>
    </row>
    <row r="62" spans="1:13">
      <c r="A62" s="94" t="s">
        <v>134</v>
      </c>
      <c r="B62" s="105" t="str">
        <f>[6]ORÇAMENTO!P76</f>
        <v>SINAPI-I</v>
      </c>
      <c r="C62" s="105">
        <f>[6]ORÇAMENTO!Q76</f>
        <v>11186</v>
      </c>
      <c r="D62" s="106" t="str">
        <f>[6]ORÇAMENTO!R76</f>
        <v>ESPELHO CRISTAL E = 4 MM</v>
      </c>
      <c r="E62" s="16" t="str">
        <f>[6]ORÇAMENTO!S76</f>
        <v>M2</v>
      </c>
      <c r="F62" s="17">
        <f>[6]ORÇAMENTO!T76</f>
        <v>12</v>
      </c>
      <c r="G62" s="17">
        <f>[6]ORÇAMENTO!U76</f>
        <v>344</v>
      </c>
      <c r="H62" s="17">
        <f>[6]ORÇAMENTO!W76</f>
        <v>425.56</v>
      </c>
      <c r="I62" s="95">
        <f>[6]ORÇAMENTO!X76</f>
        <v>5106.72</v>
      </c>
    </row>
    <row r="63" spans="1:13" s="116" customFormat="1">
      <c r="A63" s="117" t="s">
        <v>132</v>
      </c>
      <c r="B63" s="118"/>
      <c r="C63" s="118"/>
      <c r="D63" s="119" t="str">
        <f>[6]ORÇAMENTO!R77</f>
        <v>ESQUADRIA - GRADIL METÁLICO</v>
      </c>
      <c r="E63" s="120"/>
      <c r="F63" s="121"/>
      <c r="G63" s="121"/>
      <c r="H63" s="121"/>
      <c r="I63" s="122">
        <f>[6]ORÇAMENTO!X77</f>
        <v>182714.96</v>
      </c>
      <c r="J63" s="115"/>
      <c r="K63" s="115"/>
    </row>
    <row r="64" spans="1:13" ht="24">
      <c r="A64" s="94" t="s">
        <v>133</v>
      </c>
      <c r="B64" s="105" t="str">
        <f>[6]ORÇAMENTO!P78</f>
        <v>Composição</v>
      </c>
      <c r="C64" s="105" t="str">
        <f>[6]ORÇAMENTO!Q78</f>
        <v>015</v>
      </c>
      <c r="D64" s="106" t="str">
        <f>[6]ORÇAMENTO!R78</f>
        <v>FECHAMENTO COM CHAPA DE AÇO PERFURADA, INCLUSIVE PERFIS METÁLICOS PARA SUPORTE E PINTURA - FORNECIMENTO E INSTALAÇÃO</v>
      </c>
      <c r="E64" s="16" t="str">
        <f>[6]ORÇAMENTO!S78</f>
        <v>M2</v>
      </c>
      <c r="F64" s="17">
        <f>[6]ORÇAMENTO!T78</f>
        <v>75.150000000000006</v>
      </c>
      <c r="G64" s="17">
        <f>[6]ORÇAMENTO!U78</f>
        <v>515.91</v>
      </c>
      <c r="H64" s="17">
        <f>[6]ORÇAMENTO!W78</f>
        <v>638.23</v>
      </c>
      <c r="I64" s="95">
        <f>[6]ORÇAMENTO!X78</f>
        <v>47962.98</v>
      </c>
    </row>
    <row r="65" spans="1:11" ht="24">
      <c r="A65" s="94" t="s">
        <v>134</v>
      </c>
      <c r="B65" s="105" t="str">
        <f>[6]ORÇAMENTO!P79</f>
        <v>Composição</v>
      </c>
      <c r="C65" s="105" t="str">
        <f>[6]ORÇAMENTO!Q79</f>
        <v>016</v>
      </c>
      <c r="D65" s="106" t="str">
        <f>[6]ORÇAMENTO!R79</f>
        <v>PORTÃO DE ABRIR EM CHAPA DE AÇO PERFURADA, INCLUSIVE PINTURA - FORNECIMENTO E INSTALAÇÃO (PF1 E PF2)</v>
      </c>
      <c r="E65" s="16" t="str">
        <f>[6]ORÇAMENTO!S79</f>
        <v>M2</v>
      </c>
      <c r="F65" s="17">
        <f>[6]ORÇAMENTO!T79</f>
        <v>5.46</v>
      </c>
      <c r="G65" s="17">
        <f>[6]ORÇAMENTO!U79</f>
        <v>1236.42</v>
      </c>
      <c r="H65" s="17">
        <f>[6]ORÇAMENTO!W79</f>
        <v>1529.58</v>
      </c>
      <c r="I65" s="95">
        <f>[6]ORÇAMENTO!X79</f>
        <v>8351.51</v>
      </c>
    </row>
    <row r="66" spans="1:11" ht="24">
      <c r="A66" s="94" t="s">
        <v>135</v>
      </c>
      <c r="B66" s="105" t="str">
        <f>[6]ORÇAMENTO!P80</f>
        <v>Composição</v>
      </c>
      <c r="C66" s="105" t="str">
        <f>[6]ORÇAMENTO!Q80</f>
        <v>017</v>
      </c>
      <c r="D66" s="106" t="str">
        <f>[6]ORÇAMENTO!R80</f>
        <v>PORTÃO DE ABRIR COM GRADIL METÁLICO E TELA DE AÇO GALVANIZADO, INCLUSIVE PINTURA - FORNECIMENTO E INSTALAÇÃO (PO1, PO2, PO3)</v>
      </c>
      <c r="E66" s="16" t="str">
        <f>[6]ORÇAMENTO!S80</f>
        <v>M2</v>
      </c>
      <c r="F66" s="17">
        <f>[6]ORÇAMENTO!T80</f>
        <v>19.12</v>
      </c>
      <c r="G66" s="17">
        <f>[6]ORÇAMENTO!U80</f>
        <v>1236.42</v>
      </c>
      <c r="H66" s="17">
        <f>[6]ORÇAMENTO!W80</f>
        <v>1529.58</v>
      </c>
      <c r="I66" s="95">
        <f>[6]ORÇAMENTO!X80</f>
        <v>29245.57</v>
      </c>
    </row>
    <row r="67" spans="1:11" ht="24">
      <c r="A67" s="94" t="s">
        <v>136</v>
      </c>
      <c r="B67" s="105" t="str">
        <f>[6]ORÇAMENTO!P81</f>
        <v>Composição</v>
      </c>
      <c r="C67" s="105" t="str">
        <f>[6]ORÇAMENTO!Q81</f>
        <v>018</v>
      </c>
      <c r="D67" s="106" t="str">
        <f>[6]ORÇAMENTO!R81</f>
        <v>GRADIL METÁLICO E TELA DE AÇO GALVANIZADO , INCLUSIVE PINTURA - FORNECIMENTO E INSTALAÇÃO (GR1, GR2, GR3, GR4)</v>
      </c>
      <c r="E67" s="16" t="str">
        <f>[6]ORÇAMENTO!S81</f>
        <v>M2</v>
      </c>
      <c r="F67" s="17">
        <f>[6]ORÇAMENTO!T81</f>
        <v>99.9</v>
      </c>
      <c r="G67" s="17">
        <f>[6]ORÇAMENTO!U81</f>
        <v>595.04999999999995</v>
      </c>
      <c r="H67" s="17">
        <f>[6]ORÇAMENTO!W81</f>
        <v>736.14</v>
      </c>
      <c r="I67" s="95">
        <f>[6]ORÇAMENTO!X81</f>
        <v>73540.39</v>
      </c>
    </row>
    <row r="68" spans="1:11" ht="24">
      <c r="A68" s="94" t="s">
        <v>137</v>
      </c>
      <c r="B68" s="105" t="str">
        <f>[6]ORÇAMENTO!P82</f>
        <v>Composição</v>
      </c>
      <c r="C68" s="105" t="str">
        <f>[6]ORÇAMENTO!Q82</f>
        <v>015</v>
      </c>
      <c r="D68" s="106" t="str">
        <f>[6]ORÇAMENTO!R82</f>
        <v>FECHAMENTO COM CHAPA DE AÇO PERFURADA, INCLUSIVE PERFIS METÁLICOS PARA SUPORTE E PINTURA - FORNECIMENTO E INSTALAÇÃO</v>
      </c>
      <c r="E68" s="16" t="str">
        <f>[6]ORÇAMENTO!S82</f>
        <v>M2</v>
      </c>
      <c r="F68" s="17">
        <f>[6]ORÇAMENTO!T82</f>
        <v>37</v>
      </c>
      <c r="G68" s="17">
        <f>[6]ORÇAMENTO!U82</f>
        <v>515.91</v>
      </c>
      <c r="H68" s="17">
        <f>[6]ORÇAMENTO!W82</f>
        <v>638.23</v>
      </c>
      <c r="I68" s="95">
        <f>[6]ORÇAMENTO!X82</f>
        <v>23614.51</v>
      </c>
    </row>
    <row r="69" spans="1:11" s="116" customFormat="1">
      <c r="A69" s="117">
        <v>5</v>
      </c>
      <c r="B69" s="118"/>
      <c r="C69" s="118"/>
      <c r="D69" s="119" t="str">
        <f>[6]ORÇAMENTO!R84</f>
        <v xml:space="preserve">SISTEMAS DE COBERTURA </v>
      </c>
      <c r="E69" s="120"/>
      <c r="F69" s="121"/>
      <c r="G69" s="121"/>
      <c r="H69" s="121"/>
      <c r="I69" s="122">
        <f>[6]ORÇAMENTO!X84</f>
        <v>7571.88</v>
      </c>
      <c r="J69" s="115"/>
      <c r="K69" s="115"/>
    </row>
    <row r="70" spans="1:11">
      <c r="A70" s="94" t="s">
        <v>107</v>
      </c>
      <c r="B70" s="105" t="str">
        <f>[6]ORÇAMENTO!P85</f>
        <v>Composição</v>
      </c>
      <c r="C70" s="105" t="str">
        <f>[6]ORÇAMENTO!Q85</f>
        <v>072</v>
      </c>
      <c r="D70" s="106" t="str">
        <f>[6]ORÇAMENTO!R85</f>
        <v>REMOÇÃO E RECOLOCAÇÃO DE TELHA SANDUICHE METÁLICA</v>
      </c>
      <c r="E70" s="16" t="str">
        <f>[6]ORÇAMENTO!S85</f>
        <v>M2</v>
      </c>
      <c r="F70" s="17">
        <f>[6]ORÇAMENTO!T85</f>
        <v>36</v>
      </c>
      <c r="G70" s="17">
        <f>[6]ORÇAMENTO!U85</f>
        <v>170.02</v>
      </c>
      <c r="H70" s="17">
        <f>[6]ORÇAMENTO!W85</f>
        <v>210.33</v>
      </c>
      <c r="I70" s="95">
        <f>[6]ORÇAMENTO!X85</f>
        <v>7571.88</v>
      </c>
    </row>
    <row r="71" spans="1:11" s="116" customFormat="1">
      <c r="A71" s="117" t="s">
        <v>138</v>
      </c>
      <c r="B71" s="118"/>
      <c r="C71" s="118"/>
      <c r="D71" s="119" t="str">
        <f>[6]ORÇAMENTO!R87</f>
        <v>REVESTIMENTOS INTERNOS E EXTERNOS</v>
      </c>
      <c r="E71" s="120"/>
      <c r="F71" s="121"/>
      <c r="G71" s="121"/>
      <c r="H71" s="121"/>
      <c r="I71" s="122">
        <f>[6]ORÇAMENTO!X87</f>
        <v>148063.51</v>
      </c>
      <c r="J71" s="115"/>
      <c r="K71" s="115"/>
    </row>
    <row r="72" spans="1:11" ht="24">
      <c r="A72" s="94" t="s">
        <v>139</v>
      </c>
      <c r="B72" s="105" t="str">
        <f>[6]ORÇAMENTO!P88</f>
        <v>Composição</v>
      </c>
      <c r="C72" s="105" t="str">
        <f>[6]ORÇAMENTO!Q88</f>
        <v>019</v>
      </c>
      <c r="D72" s="106" t="str">
        <f>[6]ORÇAMENTO!R88</f>
        <v xml:space="preserve">REVESTIMENTO CERÂMICO EM PAREDES PEI IV - CERÂMICA - INCL. REJUNTE CONFOR. PROJETO - AZUL </v>
      </c>
      <c r="E72" s="16" t="str">
        <f>[6]ORÇAMENTO!S88</f>
        <v>M2</v>
      </c>
      <c r="F72" s="17">
        <f>[6]ORÇAMENTO!T88</f>
        <v>5.58</v>
      </c>
      <c r="G72" s="17">
        <f>[6]ORÇAMENTO!U88</f>
        <v>38.619999999999997</v>
      </c>
      <c r="H72" s="17">
        <f>[6]ORÇAMENTO!W88</f>
        <v>47.78</v>
      </c>
      <c r="I72" s="95">
        <f>[6]ORÇAMENTO!X88</f>
        <v>266.61</v>
      </c>
    </row>
    <row r="73" spans="1:11" ht="24">
      <c r="A73" s="94" t="s">
        <v>139</v>
      </c>
      <c r="B73" s="105" t="str">
        <f>[6]ORÇAMENTO!P89</f>
        <v>Composição</v>
      </c>
      <c r="C73" s="105" t="str">
        <f>[6]ORÇAMENTO!Q89</f>
        <v>020</v>
      </c>
      <c r="D73" s="106" t="str">
        <f>[6]ORÇAMENTO!R89</f>
        <v>REVESTIMENTO CERÂMICO EM PAREDES PEI IV - CERÂMICA - INCL. REJUNTE CONFOR. PROJETO - BRANCO</v>
      </c>
      <c r="E73" s="16" t="str">
        <f>[6]ORÇAMENTO!S89</f>
        <v>M2</v>
      </c>
      <c r="F73" s="17">
        <f>[6]ORÇAMENTO!T89</f>
        <v>6.84</v>
      </c>
      <c r="G73" s="17">
        <f>[6]ORÇAMENTO!U89</f>
        <v>38.619999999999997</v>
      </c>
      <c r="H73" s="17">
        <f>[6]ORÇAMENTO!W89</f>
        <v>47.78</v>
      </c>
      <c r="I73" s="95">
        <f>[6]ORÇAMENTO!X89</f>
        <v>326.82</v>
      </c>
    </row>
    <row r="74" spans="1:11" ht="24">
      <c r="A74" s="94" t="s">
        <v>139</v>
      </c>
      <c r="B74" s="105" t="str">
        <f>[6]ORÇAMENTO!P90</f>
        <v>Composição</v>
      </c>
      <c r="C74" s="105" t="str">
        <f>[6]ORÇAMENTO!Q90</f>
        <v>021</v>
      </c>
      <c r="D74" s="106" t="str">
        <f>[6]ORÇAMENTO!R90</f>
        <v>REVESTIMENTO CERÂMICO EM PAREDES PEI IV - CERÂMICA - INCL. REJUNTE CONFOR. PROJETO - AMARELO</v>
      </c>
      <c r="E74" s="16" t="str">
        <f>[6]ORÇAMENTO!S90</f>
        <v>M2</v>
      </c>
      <c r="F74" s="17">
        <f>[6]ORÇAMENTO!T90</f>
        <v>66.37</v>
      </c>
      <c r="G74" s="17">
        <f>[6]ORÇAMENTO!U90</f>
        <v>38.619999999999997</v>
      </c>
      <c r="H74" s="17">
        <f>[6]ORÇAMENTO!W90</f>
        <v>47.78</v>
      </c>
      <c r="I74" s="95">
        <f>[6]ORÇAMENTO!X90</f>
        <v>3171.16</v>
      </c>
    </row>
    <row r="75" spans="1:11" ht="18.75" customHeight="1">
      <c r="A75" s="94" t="s">
        <v>139</v>
      </c>
      <c r="B75" s="105" t="str">
        <f>[6]ORÇAMENTO!P91</f>
        <v>Composição</v>
      </c>
      <c r="C75" s="105" t="str">
        <f>[6]ORÇAMENTO!Q91</f>
        <v>022</v>
      </c>
      <c r="D75" s="106" t="str">
        <f>[6]ORÇAMENTO!R91</f>
        <v>RODA MEIO EM MADEIRA (LARGURA=10CM)</v>
      </c>
      <c r="E75" s="16" t="str">
        <f>[6]ORÇAMENTO!S91</f>
        <v>M</v>
      </c>
      <c r="F75" s="17">
        <f>[6]ORÇAMENTO!T91</f>
        <v>103.55</v>
      </c>
      <c r="G75" s="17">
        <f>[6]ORÇAMENTO!U91</f>
        <v>51.04</v>
      </c>
      <c r="H75" s="17">
        <f>[6]ORÇAMENTO!W91</f>
        <v>63.14</v>
      </c>
      <c r="I75" s="95">
        <f>[6]ORÇAMENTO!X91</f>
        <v>6538.15</v>
      </c>
    </row>
    <row r="76" spans="1:11" ht="24">
      <c r="A76" s="94" t="s">
        <v>139</v>
      </c>
      <c r="B76" s="105" t="str">
        <f>[6]ORÇAMENTO!P92</f>
        <v>Composição</v>
      </c>
      <c r="C76" s="105" t="str">
        <f>[6]ORÇAMENTO!Q92</f>
        <v>023</v>
      </c>
      <c r="D76" s="106" t="str">
        <f>[6]ORÇAMENTO!R92</f>
        <v>FORRO EM FIBRA MINERAL REMOVÍVEL (1250X625X16MM) APOIADO SOBRE PERFIL METÁLICO "T" INVERTIDO 24MM</v>
      </c>
      <c r="E76" s="16" t="str">
        <f>[6]ORÇAMENTO!S92</f>
        <v>M2</v>
      </c>
      <c r="F76" s="17">
        <f>[6]ORÇAMENTO!T92</f>
        <v>400.28</v>
      </c>
      <c r="G76" s="17">
        <f>[6]ORÇAMENTO!U92</f>
        <v>143.86000000000001</v>
      </c>
      <c r="H76" s="17">
        <f>[6]ORÇAMENTO!W92</f>
        <v>177.97</v>
      </c>
      <c r="I76" s="95">
        <f>[6]ORÇAMENTO!X92</f>
        <v>71237.83</v>
      </c>
    </row>
    <row r="77" spans="1:11" ht="24">
      <c r="A77" s="94" t="s">
        <v>139</v>
      </c>
      <c r="B77" s="105" t="str">
        <f>[6]ORÇAMENTO!P93</f>
        <v>SINAPI</v>
      </c>
      <c r="C77" s="105" t="str">
        <f>[6]ORÇAMENTO!Q93</f>
        <v>97631</v>
      </c>
      <c r="D77" s="106" t="str">
        <f>[6]ORÇAMENTO!R93</f>
        <v>DEMOLIÇÃO DE ARGAMASSAS, DE FORMA MANUAL, SEM REAPROVEITAMENTO. AF_09/2023</v>
      </c>
      <c r="E77" s="16" t="str">
        <f>[6]ORÇAMENTO!S93</f>
        <v>M2</v>
      </c>
      <c r="F77" s="17">
        <f>[6]ORÇAMENTO!T93</f>
        <v>450.23</v>
      </c>
      <c r="G77" s="17">
        <f>[6]ORÇAMENTO!U93</f>
        <v>12.79</v>
      </c>
      <c r="H77" s="17">
        <f>[6]ORÇAMENTO!W93</f>
        <v>15.82</v>
      </c>
      <c r="I77" s="95">
        <f>[6]ORÇAMENTO!X93</f>
        <v>7122.64</v>
      </c>
    </row>
    <row r="78" spans="1:11" ht="24">
      <c r="A78" s="94" t="s">
        <v>139</v>
      </c>
      <c r="B78" s="105" t="str">
        <f>[6]ORÇAMENTO!P94</f>
        <v>SINAPI</v>
      </c>
      <c r="C78" s="105" t="str">
        <f>[6]ORÇAMENTO!Q94</f>
        <v>97633</v>
      </c>
      <c r="D78" s="106" t="str">
        <f>[6]ORÇAMENTO!R94</f>
        <v>DEMOLIÇÃO DE REVESTIMENTO CERÂMICO, DE FORMA MANUAL, SEM REAPROVEITAMENTO. AF_09/2023</v>
      </c>
      <c r="E78" s="16" t="str">
        <f>[6]ORÇAMENTO!S94</f>
        <v>M2</v>
      </c>
      <c r="F78" s="17">
        <f>[6]ORÇAMENTO!T94</f>
        <v>4.54</v>
      </c>
      <c r="G78" s="17">
        <f>[6]ORÇAMENTO!U94</f>
        <v>25.53</v>
      </c>
      <c r="H78" s="17">
        <f>[6]ORÇAMENTO!W94</f>
        <v>31.58</v>
      </c>
      <c r="I78" s="95">
        <f>[6]ORÇAMENTO!X94</f>
        <v>143.37</v>
      </c>
    </row>
    <row r="79" spans="1:11" ht="36">
      <c r="A79" s="94" t="s">
        <v>139</v>
      </c>
      <c r="B79" s="105" t="str">
        <f>[6]ORÇAMENTO!P95</f>
        <v>SINAPI</v>
      </c>
      <c r="C79" s="105" t="str">
        <f>[6]ORÇAMENTO!Q95</f>
        <v>87878</v>
      </c>
      <c r="D79" s="106" t="str">
        <f>[6]ORÇAMENTO!R95</f>
        <v>CHAPISCO APLICADO EM ALVENARIAS E ESTRUTURAS DE CONCRETO INTERNAS, COM COLHER DE PEDREIRO. ARGAMASSA TRAÇO 1:3 COM PREPARO MANUAL. AF_10/2022</v>
      </c>
      <c r="E79" s="16" t="str">
        <f>[6]ORÇAMENTO!S95</f>
        <v>M2</v>
      </c>
      <c r="F79" s="17">
        <f>[6]ORÇAMENTO!T95</f>
        <v>331</v>
      </c>
      <c r="G79" s="17">
        <f>[6]ORÇAMENTO!U95</f>
        <v>5.37</v>
      </c>
      <c r="H79" s="17">
        <f>[6]ORÇAMENTO!W95</f>
        <v>6.64</v>
      </c>
      <c r="I79" s="95">
        <f>[6]ORÇAMENTO!X95</f>
        <v>2197.84</v>
      </c>
    </row>
    <row r="80" spans="1:11" ht="36">
      <c r="A80" s="94" t="s">
        <v>139</v>
      </c>
      <c r="B80" s="105" t="str">
        <f>[6]ORÇAMENTO!P96</f>
        <v>SINAPI</v>
      </c>
      <c r="C80" s="105" t="str">
        <f>[6]ORÇAMENTO!Q96</f>
        <v>87529</v>
      </c>
      <c r="D80" s="106" t="str">
        <f>[6]ORÇAMENTO!R96</f>
        <v>MASSA ÚNICA, EM ARGAMASSA TRAÇO 1:2:8, PREPARO MECÂNICO, APLICADA MANUALMENTE EM PAREDES INTERNAS DE AMBIENTES COM ÁREA ENTRE 5M² E 10M², E = 17,5MM, COM TALISCAS. AF_03/2024</v>
      </c>
      <c r="E80" s="16" t="str">
        <f>[6]ORÇAMENTO!S96</f>
        <v>M2</v>
      </c>
      <c r="F80" s="17">
        <f>[6]ORÇAMENTO!T96</f>
        <v>331</v>
      </c>
      <c r="G80" s="17">
        <f>[6]ORÇAMENTO!U96</f>
        <v>39.29</v>
      </c>
      <c r="H80" s="17">
        <f>[6]ORÇAMENTO!W96</f>
        <v>48.61</v>
      </c>
      <c r="I80" s="95">
        <f>[6]ORÇAMENTO!X96</f>
        <v>16089.91</v>
      </c>
    </row>
    <row r="81" spans="1:11" ht="24">
      <c r="A81" s="94" t="s">
        <v>139</v>
      </c>
      <c r="B81" s="105" t="str">
        <f>[6]ORÇAMENTO!P97</f>
        <v>SINAPI</v>
      </c>
      <c r="C81" s="105" t="str">
        <f>[6]ORÇAMENTO!Q97</f>
        <v>97640</v>
      </c>
      <c r="D81" s="106" t="str">
        <f>[6]ORÇAMENTO!R97</f>
        <v>REMOÇÃO DE FORROS DE DRYWALL, PVC E FIBROMINERAL, DE FORMA MANUAL, SEM REAPROVEITAMENTO. AF_09/2023</v>
      </c>
      <c r="E81" s="16" t="str">
        <f>[6]ORÇAMENTO!S97</f>
        <v>M2</v>
      </c>
      <c r="F81" s="17">
        <f>[6]ORÇAMENTO!T97</f>
        <v>300.27</v>
      </c>
      <c r="G81" s="17">
        <f>[6]ORÇAMENTO!U97</f>
        <v>2.36</v>
      </c>
      <c r="H81" s="17">
        <f>[6]ORÇAMENTO!W97</f>
        <v>2.92</v>
      </c>
      <c r="I81" s="95">
        <f>[6]ORÇAMENTO!X97</f>
        <v>876.79</v>
      </c>
    </row>
    <row r="82" spans="1:11" ht="24">
      <c r="A82" s="94" t="s">
        <v>139</v>
      </c>
      <c r="B82" s="105" t="str">
        <f>[6]ORÇAMENTO!P98</f>
        <v>SINAPI</v>
      </c>
      <c r="C82" s="105" t="str">
        <f>[6]ORÇAMENTO!Q98</f>
        <v>96110</v>
      </c>
      <c r="D82" s="106" t="str">
        <f>[6]ORÇAMENTO!R98</f>
        <v>FORRO EM DRYWALL PARA AMBIENTES RESIDENCIAIS, INCLUSIVE ESTRUTURA UNIDIRECIONAL DE FIXAÇÃO. AF_08/2023_PS</v>
      </c>
      <c r="E82" s="16" t="str">
        <f>[6]ORÇAMENTO!S98</f>
        <v>M2</v>
      </c>
      <c r="F82" s="17">
        <f>[6]ORÇAMENTO!T98</f>
        <v>300.27</v>
      </c>
      <c r="G82" s="17">
        <f>[6]ORÇAMENTO!U98</f>
        <v>85.49</v>
      </c>
      <c r="H82" s="17">
        <f>[6]ORÇAMENTO!W98</f>
        <v>105.76</v>
      </c>
      <c r="I82" s="95">
        <f>[6]ORÇAMENTO!X98</f>
        <v>31756.560000000001</v>
      </c>
    </row>
    <row r="83" spans="1:11" ht="36">
      <c r="A83" s="94" t="s">
        <v>139</v>
      </c>
      <c r="B83" s="105" t="str">
        <f>[6]ORÇAMENTO!P99</f>
        <v>SINAPI</v>
      </c>
      <c r="C83" s="105" t="str">
        <f>[6]ORÇAMENTO!Q99</f>
        <v>87246</v>
      </c>
      <c r="D83" s="106" t="str">
        <f>[6]ORÇAMENTO!R99</f>
        <v>REVESTIMENTO CERÂMICO PARA PISO COM PLACAS TIPO ESMALTADA DE DIMENSÕES 35X35 CM APLICADA EM AMBIENTES DE ÁREA MENOR QUE 5 M2. AF_02/2023_PE</v>
      </c>
      <c r="E83" s="16" t="str">
        <f>[6]ORÇAMENTO!S99</f>
        <v>M2</v>
      </c>
      <c r="F83" s="17">
        <f>[6]ORÇAMENTO!T99</f>
        <v>4.54</v>
      </c>
      <c r="G83" s="17">
        <f>[6]ORÇAMENTO!U99</f>
        <v>70.41</v>
      </c>
      <c r="H83" s="17">
        <f>[6]ORÇAMENTO!W99</f>
        <v>87.1</v>
      </c>
      <c r="I83" s="95">
        <f>[6]ORÇAMENTO!X99</f>
        <v>395.43</v>
      </c>
    </row>
    <row r="84" spans="1:11" ht="24">
      <c r="A84" s="94" t="s">
        <v>139</v>
      </c>
      <c r="B84" s="105" t="str">
        <f>[6]ORÇAMENTO!P100</f>
        <v>SINAPI</v>
      </c>
      <c r="C84" s="105">
        <f>[6]ORÇAMENTO!Q100</f>
        <v>98562</v>
      </c>
      <c r="D84" s="106" t="str">
        <f>[6]ORÇAMENTO!R100</f>
        <v>IMPERMEABILIZAÇÃO DE SUPERFÍCIE COM ARGAMASSA DE CIMENTO E AREIA, COM ADITIVO IMPERMEABILIZANTE, E = 1,5CM. AF_09/2023</v>
      </c>
      <c r="E84" s="16" t="str">
        <f>[6]ORÇAMENTO!S100</f>
        <v>M2</v>
      </c>
      <c r="F84" s="17">
        <f>[6]ORÇAMENTO!T100</f>
        <v>119.1</v>
      </c>
      <c r="G84" s="17">
        <f>[6]ORÇAMENTO!U100</f>
        <v>53.89</v>
      </c>
      <c r="H84" s="17">
        <f>[6]ORÇAMENTO!W100</f>
        <v>66.67</v>
      </c>
      <c r="I84" s="95">
        <f>[6]ORÇAMENTO!X100</f>
        <v>7940.4</v>
      </c>
    </row>
    <row r="85" spans="1:11" s="116" customFormat="1">
      <c r="A85" s="117" t="s">
        <v>140</v>
      </c>
      <c r="B85" s="118"/>
      <c r="C85" s="118"/>
      <c r="D85" s="119" t="str">
        <f>[6]ORÇAMENTO!R102</f>
        <v>SISTEMAS DE PISOS INTERNOS E EXTERNOS (PAVIMENTAÇÃO)</v>
      </c>
      <c r="E85" s="120"/>
      <c r="F85" s="121"/>
      <c r="G85" s="121"/>
      <c r="H85" s="121"/>
      <c r="I85" s="122">
        <f>[6]ORÇAMENTO!X102</f>
        <v>171413.46</v>
      </c>
      <c r="J85" s="115"/>
      <c r="K85" s="115"/>
    </row>
    <row r="86" spans="1:11" s="116" customFormat="1">
      <c r="A86" s="117" t="s">
        <v>141</v>
      </c>
      <c r="B86" s="118"/>
      <c r="C86" s="118"/>
      <c r="D86" s="119" t="str">
        <f>[6]ORÇAMENTO!R103</f>
        <v>PAVIMENTAÇÃO INTERNA</v>
      </c>
      <c r="E86" s="120"/>
      <c r="F86" s="121"/>
      <c r="G86" s="121"/>
      <c r="H86" s="121"/>
      <c r="I86" s="122">
        <f>[6]ORÇAMENTO!X103</f>
        <v>135518.65</v>
      </c>
      <c r="J86" s="115"/>
      <c r="K86" s="115"/>
    </row>
    <row r="87" spans="1:11" ht="48">
      <c r="A87" s="94" t="s">
        <v>142</v>
      </c>
      <c r="B87" s="105" t="str">
        <f>[6]ORÇAMENTO!P104</f>
        <v>SINAPI</v>
      </c>
      <c r="C87" s="105" t="str">
        <f>[6]ORÇAMENTO!Q104</f>
        <v>87690</v>
      </c>
      <c r="D87" s="106" t="str">
        <f>[6]ORÇAMENTO!R104</f>
        <v>CONTRAPISO EM ARGAMASSA TRAÇO 1:4 (CIMENTO E AREIA), PREPARO MECÂNICO COM BETONEIRA 400 L, APLICADO EM ÁREAS SECAS SOBRE LAJE, NÃO ADERIDO, ACABAMENTO NÃO REFORÇADO, ESPESSURA 5CM. AF_07/2021</v>
      </c>
      <c r="E87" s="16" t="str">
        <f>[6]ORÇAMENTO!S104</f>
        <v>M2</v>
      </c>
      <c r="F87" s="17">
        <f>[6]ORÇAMENTO!T104</f>
        <v>244.56</v>
      </c>
      <c r="G87" s="17">
        <f>[6]ORÇAMENTO!U104</f>
        <v>56.5</v>
      </c>
      <c r="H87" s="17">
        <f>[6]ORÇAMENTO!W104</f>
        <v>69.900000000000006</v>
      </c>
      <c r="I87" s="95">
        <f>[6]ORÇAMENTO!X104</f>
        <v>17094.740000000002</v>
      </c>
    </row>
    <row r="88" spans="1:11" ht="24">
      <c r="A88" s="94" t="s">
        <v>143</v>
      </c>
      <c r="B88" s="105" t="str">
        <f>[6]ORÇAMENTO!P105</f>
        <v>SINAPI</v>
      </c>
      <c r="C88" s="105" t="str">
        <f>[6]ORÇAMENTO!Q105</f>
        <v>101749</v>
      </c>
      <c r="D88" s="106" t="str">
        <f>[6]ORÇAMENTO!R105</f>
        <v>PISO CIMENTADO, TRAÇO 1:3 (CIMENTO E AREIA), ACABAMENTO LISO, ESPESSURA 4,0 CM, PREPARO MECÂNICO DA ARGAMASSA. AF_09/2020</v>
      </c>
      <c r="E88" s="16" t="str">
        <f>[6]ORÇAMENTO!S105</f>
        <v>M2</v>
      </c>
      <c r="F88" s="17">
        <f>[6]ORÇAMENTO!T105</f>
        <v>223.54</v>
      </c>
      <c r="G88" s="17">
        <f>[6]ORÇAMENTO!U105</f>
        <v>63.34</v>
      </c>
      <c r="H88" s="17">
        <f>[6]ORÇAMENTO!W105</f>
        <v>78.36</v>
      </c>
      <c r="I88" s="95">
        <f>[6]ORÇAMENTO!X105</f>
        <v>17516.59</v>
      </c>
    </row>
    <row r="89" spans="1:11" ht="24">
      <c r="A89" s="94" t="s">
        <v>144</v>
      </c>
      <c r="B89" s="105" t="str">
        <f>[6]ORÇAMENTO!P106</f>
        <v>SINAPI</v>
      </c>
      <c r="C89" s="105" t="str">
        <f>[6]ORÇAMENTO!Q106</f>
        <v>102494</v>
      </c>
      <c r="D89" s="106" t="str">
        <f>[6]ORÇAMENTO!R106</f>
        <v>PINTURA DE PISO COM TINTA EPÓXI, APLICAÇÃO MANUAL, 2 DEMÃOS, INCLUSO PRIMER EPÓXI. AF_05/2021</v>
      </c>
      <c r="E89" s="16" t="str">
        <f>[6]ORÇAMENTO!S106</f>
        <v>M2</v>
      </c>
      <c r="F89" s="17">
        <f>[6]ORÇAMENTO!T106</f>
        <v>37.42</v>
      </c>
      <c r="G89" s="17">
        <f>[6]ORÇAMENTO!U106</f>
        <v>68.36</v>
      </c>
      <c r="H89" s="17">
        <f>[6]ORÇAMENTO!W106</f>
        <v>84.57</v>
      </c>
      <c r="I89" s="95">
        <f>[6]ORÇAMENTO!X106</f>
        <v>3164.61</v>
      </c>
    </row>
    <row r="90" spans="1:11" ht="36">
      <c r="A90" s="94" t="s">
        <v>145</v>
      </c>
      <c r="B90" s="105" t="str">
        <f>[6]ORÇAMENTO!P107</f>
        <v>SINAPI</v>
      </c>
      <c r="C90" s="105" t="str">
        <f>[6]ORÇAMENTO!Q107</f>
        <v>87255</v>
      </c>
      <c r="D90" s="106" t="str">
        <f>[6]ORÇAMENTO!R107</f>
        <v>REVESTIMENTO CERÂMICO PARA PISO COM PLACAS TIPO ESMALTADA DE DIMENSÕES 60X60 CM APLICADA EM AMBIENTES DE ÁREA MENOR QUE 5 M2. AF_02/2023_PE</v>
      </c>
      <c r="E90" s="16" t="str">
        <f>[6]ORÇAMENTO!S107</f>
        <v>M2</v>
      </c>
      <c r="F90" s="17">
        <f>[6]ORÇAMENTO!T107</f>
        <v>42.6</v>
      </c>
      <c r="G90" s="17">
        <f>[6]ORÇAMENTO!U107</f>
        <v>88.22</v>
      </c>
      <c r="H90" s="17">
        <f>[6]ORÇAMENTO!W107</f>
        <v>109.14</v>
      </c>
      <c r="I90" s="95">
        <f>[6]ORÇAMENTO!X107</f>
        <v>4649.3599999999997</v>
      </c>
    </row>
    <row r="91" spans="1:11" ht="24">
      <c r="A91" s="94" t="s">
        <v>146</v>
      </c>
      <c r="B91" s="105" t="str">
        <f>[6]ORÇAMENTO!P108</f>
        <v>SINAPI</v>
      </c>
      <c r="C91" s="105" t="str">
        <f>[6]ORÇAMENTO!Q108</f>
        <v>101727</v>
      </c>
      <c r="D91" s="106" t="str">
        <f>[6]ORÇAMENTO!R108</f>
        <v>PISO VINÍLICO SEMI-FLEXÍVEL EM PLACAS, PADRÃO LISO, ESPESSURA 3,2 MM, FIXADO COM COLA. AF_09/2020</v>
      </c>
      <c r="E91" s="16" t="str">
        <f>[6]ORÇAMENTO!S108</f>
        <v>M2</v>
      </c>
      <c r="F91" s="17">
        <f>[6]ORÇAMENTO!T108</f>
        <v>216.4</v>
      </c>
      <c r="G91" s="17">
        <f>[6]ORÇAMENTO!U108</f>
        <v>167.22</v>
      </c>
      <c r="H91" s="17">
        <f>[6]ORÇAMENTO!W108</f>
        <v>206.87</v>
      </c>
      <c r="I91" s="95">
        <f>[6]ORÇAMENTO!X108</f>
        <v>44766.67</v>
      </c>
      <c r="J91" s="3"/>
      <c r="K91" s="3"/>
    </row>
    <row r="92" spans="1:11" ht="24">
      <c r="A92" s="94" t="s">
        <v>147</v>
      </c>
      <c r="B92" s="105" t="str">
        <f>[6]ORÇAMENTO!P109</f>
        <v>SINAPI</v>
      </c>
      <c r="C92" s="105" t="str">
        <f>[6]ORÇAMENTO!Q109</f>
        <v>101094</v>
      </c>
      <c r="D92" s="106" t="str">
        <f>[6]ORÇAMENTO!R109</f>
        <v>PISO PODOTÁTIL DE ALERTA OU DIRECIONAL, DE BORRACHA, ASSENTADO SOBRE ARGAMASSA. AF_05/2020</v>
      </c>
      <c r="E92" s="16" t="str">
        <f>[6]ORÇAMENTO!S109</f>
        <v>M</v>
      </c>
      <c r="F92" s="17">
        <f>[6]ORÇAMENTO!T109</f>
        <v>18.09</v>
      </c>
      <c r="G92" s="17">
        <f>[6]ORÇAMENTO!U109</f>
        <v>145.55000000000001</v>
      </c>
      <c r="H92" s="17">
        <f>[6]ORÇAMENTO!W109</f>
        <v>180.06</v>
      </c>
      <c r="I92" s="95">
        <f>[6]ORÇAMENTO!X109</f>
        <v>3257.29</v>
      </c>
      <c r="J92" s="3"/>
      <c r="K92" s="3"/>
    </row>
    <row r="93" spans="1:11" ht="24">
      <c r="A93" s="94" t="s">
        <v>148</v>
      </c>
      <c r="B93" s="105" t="str">
        <f>[6]ORÇAMENTO!P110</f>
        <v>SINAPI</v>
      </c>
      <c r="C93" s="105" t="str">
        <f>[6]ORÇAMENTO!Q110</f>
        <v>101094</v>
      </c>
      <c r="D93" s="106" t="str">
        <f>[6]ORÇAMENTO!R110</f>
        <v>PISO PODOTÁTIL DE ALERTA OU DIRECIONAL, DE BORRACHA, ASSENTADO SOBRE ARGAMASSA. AF_05/2020</v>
      </c>
      <c r="E93" s="16" t="str">
        <f>[6]ORÇAMENTO!S110</f>
        <v>M</v>
      </c>
      <c r="F93" s="17">
        <f>[6]ORÇAMENTO!T110</f>
        <v>20.43</v>
      </c>
      <c r="G93" s="17">
        <f>[6]ORÇAMENTO!U110</f>
        <v>145.55000000000001</v>
      </c>
      <c r="H93" s="17">
        <f>[6]ORÇAMENTO!W110</f>
        <v>180.06</v>
      </c>
      <c r="I93" s="95">
        <f>[6]ORÇAMENTO!X110</f>
        <v>3678.63</v>
      </c>
      <c r="J93" s="3"/>
      <c r="K93" s="3"/>
    </row>
    <row r="94" spans="1:11">
      <c r="A94" s="94" t="s">
        <v>149</v>
      </c>
      <c r="B94" s="105" t="str">
        <f>[6]ORÇAMENTO!P111</f>
        <v>Composição</v>
      </c>
      <c r="C94" s="105" t="str">
        <f>[6]ORÇAMENTO!Q111</f>
        <v>024</v>
      </c>
      <c r="D94" s="106" t="str">
        <f>[6]ORÇAMENTO!R111</f>
        <v>RODAPÉ VINÍLICO H=5CM</v>
      </c>
      <c r="E94" s="16" t="str">
        <f>[6]ORÇAMENTO!S111</f>
        <v xml:space="preserve">M     </v>
      </c>
      <c r="F94" s="17">
        <f>[6]ORÇAMENTO!T111</f>
        <v>103.55</v>
      </c>
      <c r="G94" s="17">
        <f>[6]ORÇAMENTO!U111</f>
        <v>32.75</v>
      </c>
      <c r="H94" s="17">
        <f>[6]ORÇAMENTO!W111</f>
        <v>40.520000000000003</v>
      </c>
      <c r="I94" s="95">
        <f>[6]ORÇAMENTO!X111</f>
        <v>4195.8500000000004</v>
      </c>
      <c r="J94" s="3"/>
      <c r="K94" s="3"/>
    </row>
    <row r="95" spans="1:11" ht="24">
      <c r="A95" s="94" t="s">
        <v>150</v>
      </c>
      <c r="B95" s="105" t="str">
        <f>[6]ORÇAMENTO!P112</f>
        <v>SINAPI</v>
      </c>
      <c r="C95" s="105" t="str">
        <f>[6]ORÇAMENTO!Q112</f>
        <v>104790</v>
      </c>
      <c r="D95" s="106" t="str">
        <f>[6]ORÇAMENTO!R112</f>
        <v>DEMOLIÇÃO DE PISO DE CONCRETO SIMPLES, DE FORMA MECANIZADA COM MARTELETE, SEM REAPROVEITAMENTO. AF_09/2023</v>
      </c>
      <c r="E95" s="16" t="str">
        <f>[6]ORÇAMENTO!S112</f>
        <v>M3</v>
      </c>
      <c r="F95" s="17">
        <f>[6]ORÇAMENTO!T112</f>
        <v>226.66</v>
      </c>
      <c r="G95" s="17">
        <f>[6]ORÇAMENTO!U112</f>
        <v>132.65</v>
      </c>
      <c r="H95" s="17">
        <f>[6]ORÇAMENTO!W112</f>
        <v>164.1</v>
      </c>
      <c r="I95" s="95">
        <f>[6]ORÇAMENTO!X112</f>
        <v>37194.910000000003</v>
      </c>
      <c r="J95" s="3"/>
      <c r="K95" s="3"/>
    </row>
    <row r="96" spans="1:11" s="116" customFormat="1">
      <c r="A96" s="117" t="s">
        <v>151</v>
      </c>
      <c r="B96" s="118"/>
      <c r="C96" s="118"/>
      <c r="D96" s="119" t="str">
        <f>[6]ORÇAMENTO!R114</f>
        <v>PAVIMENTAÇÃO EXTERNA</v>
      </c>
      <c r="E96" s="120"/>
      <c r="F96" s="121"/>
      <c r="G96" s="121"/>
      <c r="H96" s="121"/>
      <c r="I96" s="122">
        <f>[6]ORÇAMENTO!X114</f>
        <v>35894.81</v>
      </c>
    </row>
    <row r="97" spans="1:11" ht="24">
      <c r="A97" s="94" t="s">
        <v>152</v>
      </c>
      <c r="B97" s="105" t="str">
        <f>[6]ORÇAMENTO!P115</f>
        <v>Composição</v>
      </c>
      <c r="C97" s="105" t="str">
        <f>[6]ORÇAMENTO!Q115</f>
        <v>025</v>
      </c>
      <c r="D97" s="106" t="str">
        <f>[6]ORÇAMENTO!R115</f>
        <v>PASSEIO EM CONCRETO DESEMPENADO COM JUNTA PLÁSTICA A CADA 1,20M, E=7CM (BASEADA NA COMPOSIÇÃO 68333 - REF 09-2019)</v>
      </c>
      <c r="E97" s="16" t="str">
        <f>[6]ORÇAMENTO!S115</f>
        <v>M2</v>
      </c>
      <c r="F97" s="17">
        <f>[6]ORÇAMENTO!T115</f>
        <v>222.84</v>
      </c>
      <c r="G97" s="17">
        <f>[6]ORÇAMENTO!U115</f>
        <v>68.010000000000005</v>
      </c>
      <c r="H97" s="17">
        <f>[6]ORÇAMENTO!W115</f>
        <v>84.14</v>
      </c>
      <c r="I97" s="95">
        <f>[6]ORÇAMENTO!X115</f>
        <v>18749.759999999998</v>
      </c>
      <c r="J97" s="3"/>
      <c r="K97" s="3"/>
    </row>
    <row r="98" spans="1:11" ht="24">
      <c r="A98" s="94" t="s">
        <v>153</v>
      </c>
      <c r="B98" s="105" t="str">
        <f>[6]ORÇAMENTO!P116</f>
        <v>Composição</v>
      </c>
      <c r="C98" s="105" t="str">
        <f>[6]ORÇAMENTO!Q116</f>
        <v>026</v>
      </c>
      <c r="D98" s="106" t="str">
        <f>[6]ORÇAMENTO!R116</f>
        <v>RAMPA DE ACESSO EM CONCRETO NÃO ESTRUTURAL (BASEADA NA COMPOSIÇÃO 94994 - REF 04-2023)</v>
      </c>
      <c r="E98" s="16" t="str">
        <f>[6]ORÇAMENTO!S116</f>
        <v>M2</v>
      </c>
      <c r="F98" s="17">
        <f>[6]ORÇAMENTO!T116</f>
        <v>17.38</v>
      </c>
      <c r="G98" s="17">
        <f>[6]ORÇAMENTO!U116</f>
        <v>82.5</v>
      </c>
      <c r="H98" s="17">
        <f>[6]ORÇAMENTO!W116</f>
        <v>102.06</v>
      </c>
      <c r="I98" s="95">
        <f>[6]ORÇAMENTO!X116</f>
        <v>1773.8</v>
      </c>
      <c r="J98" s="3"/>
      <c r="K98" s="3"/>
    </row>
    <row r="99" spans="1:11" ht="24">
      <c r="A99" s="94" t="s">
        <v>154</v>
      </c>
      <c r="B99" s="105" t="str">
        <f>[6]ORÇAMENTO!P117</f>
        <v>SINAPI</v>
      </c>
      <c r="C99" s="105" t="str">
        <f>[6]ORÇAMENTO!Q117</f>
        <v>92402</v>
      </c>
      <c r="D99" s="106" t="str">
        <f>[6]ORÇAMENTO!R117</f>
        <v>EXECUÇÃO DE PASSEIO EM PISO INTERTRAVADO, COM BLOCO 16 FACES DE 22 X 11 CM, ESPESSURA 6 CM. AF_10/2022</v>
      </c>
      <c r="E99" s="16" t="str">
        <f>[6]ORÇAMENTO!S117</f>
        <v>M2</v>
      </c>
      <c r="F99" s="17">
        <f>[6]ORÇAMENTO!T117</f>
        <v>28.05</v>
      </c>
      <c r="G99" s="17">
        <f>[6]ORÇAMENTO!U117</f>
        <v>80.77</v>
      </c>
      <c r="H99" s="17">
        <f>[6]ORÇAMENTO!W117</f>
        <v>99.92</v>
      </c>
      <c r="I99" s="95">
        <f>[6]ORÇAMENTO!X117</f>
        <v>2802.76</v>
      </c>
      <c r="J99" s="3"/>
      <c r="K99" s="3"/>
    </row>
    <row r="100" spans="1:11" ht="24">
      <c r="A100" s="94" t="s">
        <v>155</v>
      </c>
      <c r="B100" s="105" t="str">
        <f>[6]ORÇAMENTO!P118</f>
        <v>SINAPI</v>
      </c>
      <c r="C100" s="105" t="str">
        <f>[6]ORÇAMENTO!Q118</f>
        <v>104658</v>
      </c>
      <c r="D100" s="106" t="str">
        <f>[6]ORÇAMENTO!R118</f>
        <v>PISO PODOTÁTIL DE ALERTA OU DIRECIONAL, DE CONCRETO, ASSENTADO SOBRE ARGAMASSA. AF_03/2024</v>
      </c>
      <c r="E100" s="16" t="str">
        <f>[6]ORÇAMENTO!S118</f>
        <v>M2</v>
      </c>
      <c r="F100" s="17">
        <f>[6]ORÇAMENTO!T118</f>
        <v>3.51</v>
      </c>
      <c r="G100" s="17">
        <f>[6]ORÇAMENTO!U118</f>
        <v>153.63</v>
      </c>
      <c r="H100" s="17">
        <f>[6]ORÇAMENTO!W118</f>
        <v>190.06</v>
      </c>
      <c r="I100" s="95">
        <f>[6]ORÇAMENTO!X118</f>
        <v>667.11</v>
      </c>
      <c r="J100" s="3"/>
      <c r="K100" s="3"/>
    </row>
    <row r="101" spans="1:11" ht="24">
      <c r="A101" s="94" t="s">
        <v>156</v>
      </c>
      <c r="B101" s="105" t="str">
        <f>[6]ORÇAMENTO!P119</f>
        <v>SINAPI</v>
      </c>
      <c r="C101" s="105" t="str">
        <f>[6]ORÇAMENTO!Q119</f>
        <v>104658</v>
      </c>
      <c r="D101" s="106" t="str">
        <f>[6]ORÇAMENTO!R119</f>
        <v>PISO PODOTÁTIL DE ALERTA OU DIRECIONAL, DE CONCRETO, ASSENTADO SOBRE ARGAMASSA. AF_03/2024</v>
      </c>
      <c r="E101" s="16" t="str">
        <f>[6]ORÇAMENTO!S119</f>
        <v>M2</v>
      </c>
      <c r="F101" s="17">
        <f>[6]ORÇAMENTO!T119</f>
        <v>1.89</v>
      </c>
      <c r="G101" s="17">
        <f>[6]ORÇAMENTO!U119</f>
        <v>153.63</v>
      </c>
      <c r="H101" s="17">
        <f>[6]ORÇAMENTO!W119</f>
        <v>190.06</v>
      </c>
      <c r="I101" s="95">
        <f>[6]ORÇAMENTO!X119</f>
        <v>359.21</v>
      </c>
      <c r="J101" s="3"/>
      <c r="K101" s="3"/>
    </row>
    <row r="102" spans="1:11" ht="36">
      <c r="A102" s="94" t="s">
        <v>157</v>
      </c>
      <c r="B102" s="105" t="str">
        <f>[6]ORÇAMENTO!P120</f>
        <v>SINAPI</v>
      </c>
      <c r="C102" s="105" t="str">
        <f>[6]ORÇAMENTO!Q120</f>
        <v>94273</v>
      </c>
      <c r="D102" s="106" t="str">
        <f>[6]ORÇAMENTO!R120</f>
        <v>ASSENTAMENTO DE GUIA (MEIO-FIO) EM TRECHO RETO, CONFECCIONADA EM CONCRETO PRÉ-FABRICADO, DIMENSÕES 100X15X13X30 CM (COMPRIMENTO X BASE INFERIOR X BASE SUPERIOR X ALTURA). AF_01/2024</v>
      </c>
      <c r="E102" s="16" t="str">
        <f>[6]ORÇAMENTO!S120</f>
        <v>M</v>
      </c>
      <c r="F102" s="17">
        <f>[6]ORÇAMENTO!T120</f>
        <v>15.3</v>
      </c>
      <c r="G102" s="17">
        <f>[6]ORÇAMENTO!U120</f>
        <v>50.87</v>
      </c>
      <c r="H102" s="17">
        <f>[6]ORÇAMENTO!W120</f>
        <v>62.93</v>
      </c>
      <c r="I102" s="95">
        <f>[6]ORÇAMENTO!X120</f>
        <v>962.83</v>
      </c>
      <c r="J102" s="3"/>
      <c r="K102" s="3"/>
    </row>
    <row r="103" spans="1:11" ht="24">
      <c r="A103" s="94" t="s">
        <v>158</v>
      </c>
      <c r="B103" s="105" t="str">
        <f>[6]ORÇAMENTO!P121</f>
        <v>SINAPI</v>
      </c>
      <c r="C103" s="105" t="str">
        <f>[6]ORÇAMENTO!Q121</f>
        <v>100323</v>
      </c>
      <c r="D103" s="106" t="str">
        <f>[6]ORÇAMENTO!R121</f>
        <v>LASTRO COM MATERIAL GRANULAR (AREIA MÉDIA), APLICADO EM PISOS OU LAJES SOBRE SOLO, ESPESSURA DE *10 CM*. AF_01/2024</v>
      </c>
      <c r="E103" s="16" t="str">
        <f>[6]ORÇAMENTO!S121</f>
        <v>M3</v>
      </c>
      <c r="F103" s="17">
        <f>[6]ORÇAMENTO!T121</f>
        <v>6</v>
      </c>
      <c r="G103" s="17">
        <f>[6]ORÇAMENTO!U121</f>
        <v>175.21</v>
      </c>
      <c r="H103" s="17">
        <f>[6]ORÇAMENTO!W121</f>
        <v>216.75</v>
      </c>
      <c r="I103" s="95">
        <f>[6]ORÇAMENTO!X121</f>
        <v>1300.5</v>
      </c>
      <c r="J103" s="3"/>
      <c r="K103" s="3"/>
    </row>
    <row r="104" spans="1:11">
      <c r="A104" s="94" t="s">
        <v>159</v>
      </c>
      <c r="B104" s="105" t="str">
        <f>[6]ORÇAMENTO!P122</f>
        <v>SINAPI</v>
      </c>
      <c r="C104" s="105" t="str">
        <f>[6]ORÇAMENTO!Q122</f>
        <v>98504</v>
      </c>
      <c r="D104" s="106" t="str">
        <f>[6]ORÇAMENTO!R122</f>
        <v>PLANTIO DE GRAMA BATATAIS EM PLACAS. AF_07/2024</v>
      </c>
      <c r="E104" s="16" t="str">
        <f>[6]ORÇAMENTO!S122</f>
        <v>M2</v>
      </c>
      <c r="F104" s="17">
        <f>[6]ORÇAMENTO!T122</f>
        <v>331.98</v>
      </c>
      <c r="G104" s="17">
        <f>[6]ORÇAMENTO!U122</f>
        <v>22.59</v>
      </c>
      <c r="H104" s="17">
        <f>[6]ORÇAMENTO!W122</f>
        <v>27.95</v>
      </c>
      <c r="I104" s="95">
        <f>[6]ORÇAMENTO!X122</f>
        <v>9278.84</v>
      </c>
      <c r="J104" s="3"/>
      <c r="K104" s="3"/>
    </row>
    <row r="105" spans="1:11" s="116" customFormat="1">
      <c r="A105" s="117">
        <v>8</v>
      </c>
      <c r="B105" s="118"/>
      <c r="C105" s="118"/>
      <c r="D105" s="119" t="str">
        <f>[6]ORÇAMENTO!R124</f>
        <v xml:space="preserve">PINTURA </v>
      </c>
      <c r="E105" s="120"/>
      <c r="F105" s="121"/>
      <c r="G105" s="121"/>
      <c r="H105" s="121"/>
      <c r="I105" s="122">
        <f>[6]ORÇAMENTO!X124</f>
        <v>45435.63</v>
      </c>
    </row>
    <row r="106" spans="1:11" ht="24">
      <c r="A106" s="94" t="s">
        <v>160</v>
      </c>
      <c r="B106" s="105" t="str">
        <f>[6]ORÇAMENTO!P125</f>
        <v>SINAPI</v>
      </c>
      <c r="C106" s="105" t="str">
        <f>[6]ORÇAMENTO!Q125</f>
        <v>104642</v>
      </c>
      <c r="D106" s="106" t="str">
        <f>[6]ORÇAMENTO!R125</f>
        <v>PINTURA LÁTEX ACRÍLICA STANDARD, APLICAÇÃO MANUAL EM PAREDES, DUAS DEMÃOS. AF_04/2023</v>
      </c>
      <c r="E106" s="16" t="str">
        <f>[6]ORÇAMENTO!S125</f>
        <v>M2</v>
      </c>
      <c r="F106" s="17">
        <f>[6]ORÇAMENTO!T125</f>
        <v>2050.08</v>
      </c>
      <c r="G106" s="17">
        <f>[6]ORÇAMENTO!U125</f>
        <v>11.92</v>
      </c>
      <c r="H106" s="17">
        <f>[6]ORÇAMENTO!W125</f>
        <v>14.75</v>
      </c>
      <c r="I106" s="95">
        <f>[6]ORÇAMENTO!X125</f>
        <v>30238.68</v>
      </c>
      <c r="J106" s="3"/>
      <c r="K106" s="3"/>
    </row>
    <row r="107" spans="1:11" ht="24">
      <c r="A107" s="94" t="s">
        <v>161</v>
      </c>
      <c r="B107" s="105" t="str">
        <f>[6]ORÇAMENTO!P126</f>
        <v>SINAPI</v>
      </c>
      <c r="C107" s="105" t="str">
        <f>[6]ORÇAMENTO!Q126</f>
        <v>104640</v>
      </c>
      <c r="D107" s="106" t="str">
        <f>[6]ORÇAMENTO!R126</f>
        <v>PINTURA LÁTEX ACRÍLICA STANDARD, APLICAÇÃO MANUAL EM TETO, DUAS DEMÃOS. AF_04/2023</v>
      </c>
      <c r="E107" s="16" t="str">
        <f>[6]ORÇAMENTO!S126</f>
        <v>M2</v>
      </c>
      <c r="F107" s="17">
        <f>[6]ORÇAMENTO!T126</f>
        <v>704.15</v>
      </c>
      <c r="G107" s="17">
        <f>[6]ORÇAMENTO!U126</f>
        <v>14.42</v>
      </c>
      <c r="H107" s="17">
        <f>[6]ORÇAMENTO!W126</f>
        <v>17.84</v>
      </c>
      <c r="I107" s="95">
        <f>[6]ORÇAMENTO!X126</f>
        <v>12562.04</v>
      </c>
      <c r="J107" s="3"/>
      <c r="K107" s="3"/>
    </row>
    <row r="108" spans="1:11" ht="24">
      <c r="A108" s="94" t="s">
        <v>162</v>
      </c>
      <c r="B108" s="105" t="str">
        <f>[6]ORÇAMENTO!P127</f>
        <v>SINAPI</v>
      </c>
      <c r="C108" s="105" t="str">
        <f>[6]ORÇAMENTO!Q127</f>
        <v>102210</v>
      </c>
      <c r="D108" s="106" t="str">
        <f>[6]ORÇAMENTO!R127</f>
        <v>PINTURA TINTA DE ACABAMENTO (PIGMENTADA) ESMALTE SINTÉTICO BRILHANTE EM MADEIRA, 1 DEMÃO. AF_01/2021</v>
      </c>
      <c r="E108" s="16" t="str">
        <f>[6]ORÇAMENTO!S127</f>
        <v>M2</v>
      </c>
      <c r="F108" s="17">
        <f>[6]ORÇAMENTO!T127</f>
        <v>78.12</v>
      </c>
      <c r="G108" s="17">
        <f>[6]ORÇAMENTO!U127</f>
        <v>8.6300000000000008</v>
      </c>
      <c r="H108" s="17">
        <f>[6]ORÇAMENTO!W127</f>
        <v>10.68</v>
      </c>
      <c r="I108" s="95">
        <f>[6]ORÇAMENTO!X127</f>
        <v>834.32</v>
      </c>
      <c r="J108" s="3"/>
      <c r="K108" s="3"/>
    </row>
    <row r="109" spans="1:11" ht="24">
      <c r="A109" s="94" t="s">
        <v>163</v>
      </c>
      <c r="B109" s="105" t="str">
        <f>[6]ORÇAMENTO!P128</f>
        <v>SINAPI</v>
      </c>
      <c r="C109" s="105" t="str">
        <f>[6]ORÇAMENTO!Q128</f>
        <v>102210</v>
      </c>
      <c r="D109" s="106" t="str">
        <f>[6]ORÇAMENTO!R128</f>
        <v>PINTURA TINTA DE ACABAMENTO (PIGMENTADA) ESMALTE SINTÉTICO BRILHANTE EM MADEIRA, 1 DEMÃO. AF_01/2021</v>
      </c>
      <c r="E109" s="16" t="str">
        <f>[6]ORÇAMENTO!S128</f>
        <v>M2</v>
      </c>
      <c r="F109" s="17">
        <f>[6]ORÇAMENTO!T128</f>
        <v>10.36</v>
      </c>
      <c r="G109" s="17">
        <f>[6]ORÇAMENTO!U128</f>
        <v>8.6300000000000008</v>
      </c>
      <c r="H109" s="17">
        <f>[6]ORÇAMENTO!W128</f>
        <v>10.68</v>
      </c>
      <c r="I109" s="95">
        <f>[6]ORÇAMENTO!X128</f>
        <v>110.64</v>
      </c>
      <c r="J109" s="3"/>
      <c r="K109" s="3"/>
    </row>
    <row r="110" spans="1:11" ht="36">
      <c r="A110" s="94" t="s">
        <v>164</v>
      </c>
      <c r="B110" s="105" t="str">
        <f>[6]ORÇAMENTO!P129</f>
        <v>SINAPI</v>
      </c>
      <c r="C110" s="105" t="str">
        <f>[6]ORÇAMENTO!Q129</f>
        <v>100733</v>
      </c>
      <c r="D110" s="106" t="str">
        <f>[6]ORÇAMENTO!R129</f>
        <v>PINTURA COM TINTA ACRÍLICA DE FUNDO PULVERIZADA SOBRE SUPERFÍCIES METÁLICAS (EXCETO PERFIL) EXECUTADO EM OBRA (POR DEMÃO). AF_01/2020_PE</v>
      </c>
      <c r="E110" s="16" t="str">
        <f>[6]ORÇAMENTO!S129</f>
        <v>M2</v>
      </c>
      <c r="F110" s="17">
        <f>[6]ORÇAMENTO!T129</f>
        <v>109.17</v>
      </c>
      <c r="G110" s="17">
        <f>[6]ORÇAMENTO!U129</f>
        <v>12.51</v>
      </c>
      <c r="H110" s="17">
        <f>[6]ORÇAMENTO!W129</f>
        <v>15.48</v>
      </c>
      <c r="I110" s="95">
        <f>[6]ORÇAMENTO!X129</f>
        <v>1689.95</v>
      </c>
      <c r="J110" s="3"/>
      <c r="K110" s="3"/>
    </row>
    <row r="111" spans="1:11" s="116" customFormat="1">
      <c r="A111" s="117">
        <v>9</v>
      </c>
      <c r="B111" s="118"/>
      <c r="C111" s="118"/>
      <c r="D111" s="119" t="str">
        <f>[6]ORÇAMENTO!R131</f>
        <v xml:space="preserve">INSTALAÇÃO HIDRÁULICA </v>
      </c>
      <c r="E111" s="120"/>
      <c r="F111" s="121"/>
      <c r="G111" s="121"/>
      <c r="H111" s="121"/>
      <c r="I111" s="122">
        <f>[6]ORÇAMENTO!X131</f>
        <v>14944.57</v>
      </c>
    </row>
    <row r="112" spans="1:11" s="116" customFormat="1">
      <c r="A112" s="117" t="s">
        <v>165</v>
      </c>
      <c r="B112" s="118"/>
      <c r="C112" s="118"/>
      <c r="D112" s="119" t="str">
        <f>[6]ORÇAMENTO!R132</f>
        <v>TUBULAÇÕES E CONEXÕES DE PVC RÍGIDO</v>
      </c>
      <c r="E112" s="120"/>
      <c r="F112" s="121"/>
      <c r="G112" s="121"/>
      <c r="H112" s="121"/>
      <c r="I112" s="122">
        <f>[6]ORÇAMENTO!X132</f>
        <v>14944.57</v>
      </c>
    </row>
    <row r="113" spans="1:11" ht="36">
      <c r="A113" s="94" t="s">
        <v>166</v>
      </c>
      <c r="B113" s="105" t="str">
        <f>[6]ORÇAMENTO!P133</f>
        <v>SINAPI</v>
      </c>
      <c r="C113" s="105" t="str">
        <f>[6]ORÇAMENTO!Q133</f>
        <v>89596</v>
      </c>
      <c r="D113" s="106" t="str">
        <f>[6]ORÇAMENTO!R133</f>
        <v>ADAPTADOR CURTO COM BOLSA E ROSCA PARA REGISTRO, PVC, SOLDÁVEL, DN 50MM X 1.1/2, INSTALADO EM PRUMADA DE ÁGUA - FORNECIMENTO E INSTALAÇÃO. AF_06/2022</v>
      </c>
      <c r="E113" s="16" t="str">
        <f>[6]ORÇAMENTO!S133</f>
        <v>UN</v>
      </c>
      <c r="F113" s="17">
        <f>[6]ORÇAMENTO!T133</f>
        <v>21</v>
      </c>
      <c r="G113" s="17">
        <f>[6]ORÇAMENTO!U133</f>
        <v>12.1</v>
      </c>
      <c r="H113" s="17">
        <f>[6]ORÇAMENTO!W133</f>
        <v>14.97</v>
      </c>
      <c r="I113" s="95">
        <f>[6]ORÇAMENTO!X133</f>
        <v>314.37</v>
      </c>
      <c r="J113" s="3"/>
      <c r="K113" s="3"/>
    </row>
    <row r="114" spans="1:11" ht="36">
      <c r="A114" s="94" t="s">
        <v>167</v>
      </c>
      <c r="B114" s="105" t="str">
        <f>[6]ORÇAMENTO!P134</f>
        <v>SINAPI</v>
      </c>
      <c r="C114" s="105">
        <f>[6]ORÇAMENTO!Q134</f>
        <v>89610</v>
      </c>
      <c r="D114" s="106" t="str">
        <f>[6]ORÇAMENTO!R134</f>
        <v>ADAPTADOR CURTO COM BOLSA E ROSCA PARA REGISTRO, PVC, SOLDÁVEL, DN 60MM X 2, INSTALADO EM PRUMADA DE ÁGUA - FORNECIMENTO E INSTALAÇÃO. AF_06/2022</v>
      </c>
      <c r="E114" s="16" t="str">
        <f>[6]ORÇAMENTO!S134</f>
        <v>UN</v>
      </c>
      <c r="F114" s="17">
        <f>[6]ORÇAMENTO!T134</f>
        <v>8</v>
      </c>
      <c r="G114" s="17">
        <f>[6]ORÇAMENTO!U134</f>
        <v>22.62</v>
      </c>
      <c r="H114" s="17">
        <f>[6]ORÇAMENTO!W134</f>
        <v>27.98</v>
      </c>
      <c r="I114" s="95">
        <f>[6]ORÇAMENTO!X134</f>
        <v>223.84</v>
      </c>
      <c r="J114" s="3"/>
      <c r="K114" s="3"/>
    </row>
    <row r="115" spans="1:11" ht="36">
      <c r="A115" s="94" t="s">
        <v>168</v>
      </c>
      <c r="B115" s="105" t="str">
        <f>[6]ORÇAMENTO!P135</f>
        <v>SINAPI</v>
      </c>
      <c r="C115" s="105">
        <f>[6]ORÇAMENTO!Q135</f>
        <v>89613</v>
      </c>
      <c r="D115" s="106" t="str">
        <f>[6]ORÇAMENTO!R135</f>
        <v>ADAPTADOR CURTO COM BOLSA E ROSCA PARA REGISTRO, PVC, SOLDÁVEL, DN 75MM X 2.1/2", INSTALADO EM PRUMADA DE ÁGUA - FORNECIMENTO E INSTALAÇÃO. AF_12/2014</v>
      </c>
      <c r="E115" s="16" t="str">
        <f>[6]ORÇAMENTO!S135</f>
        <v>UN</v>
      </c>
      <c r="F115" s="17">
        <f>[6]ORÇAMENTO!T135</f>
        <v>12</v>
      </c>
      <c r="G115" s="17">
        <f>[6]ORÇAMENTO!U135</f>
        <v>35.380000000000003</v>
      </c>
      <c r="H115" s="17">
        <f>[6]ORÇAMENTO!W135</f>
        <v>43.77</v>
      </c>
      <c r="I115" s="95">
        <f>[6]ORÇAMENTO!X135</f>
        <v>525.24</v>
      </c>
      <c r="J115" s="3"/>
      <c r="K115" s="3"/>
    </row>
    <row r="116" spans="1:11" ht="24">
      <c r="A116" s="94" t="s">
        <v>169</v>
      </c>
      <c r="B116" s="105" t="str">
        <f>[6]ORÇAMENTO!P136</f>
        <v>SINAPI</v>
      </c>
      <c r="C116" s="105" t="str">
        <f>[6]ORÇAMENTO!Q136</f>
        <v>103959</v>
      </c>
      <c r="D116" s="106" t="str">
        <f>[6]ORÇAMENTO!R136</f>
        <v>BUCHA DE REDUÇÃO, CURTA, PVC, SOLDÁVEL, DN 60 X 50 MM, INSTALADO EM PRUMADA DE ÁGUA - FORNECIMENTO E INSTALAÇÃO. AF_06/2022</v>
      </c>
      <c r="E116" s="16" t="str">
        <f>[6]ORÇAMENTO!S136</f>
        <v>UN</v>
      </c>
      <c r="F116" s="17">
        <f>[6]ORÇAMENTO!T136</f>
        <v>16</v>
      </c>
      <c r="G116" s="17">
        <f>[6]ORÇAMENTO!U136</f>
        <v>17.41</v>
      </c>
      <c r="H116" s="17">
        <f>[6]ORÇAMENTO!W136</f>
        <v>21.54</v>
      </c>
      <c r="I116" s="95">
        <f>[6]ORÇAMENTO!X136</f>
        <v>344.64</v>
      </c>
      <c r="J116" s="3"/>
      <c r="K116" s="3"/>
    </row>
    <row r="117" spans="1:11" ht="24">
      <c r="A117" s="94" t="s">
        <v>170</v>
      </c>
      <c r="B117" s="105" t="str">
        <f>[6]ORÇAMENTO!P137</f>
        <v>SINAPI</v>
      </c>
      <c r="C117" s="105" t="str">
        <f>[6]ORÇAMENTO!Q137</f>
        <v>103972</v>
      </c>
      <c r="D117" s="106" t="str">
        <f>[6]ORÇAMENTO!R137</f>
        <v>BUCHA DE REDUÇÃO, LONGA, PVC, SOLDÁVEL, DN 75 X 50 MM, INSTALADO EM PRUMADA DE ÁGUA - FORNECIMENTO E INSTALAÇÃO. AF_06/2022</v>
      </c>
      <c r="E117" s="16" t="str">
        <f>[6]ORÇAMENTO!S137</f>
        <v>UN</v>
      </c>
      <c r="F117" s="17">
        <f>[6]ORÇAMENTO!T137</f>
        <v>6</v>
      </c>
      <c r="G117" s="17">
        <f>[6]ORÇAMENTO!U137</f>
        <v>33.68</v>
      </c>
      <c r="H117" s="17">
        <f>[6]ORÇAMENTO!W137</f>
        <v>41.67</v>
      </c>
      <c r="I117" s="95">
        <f>[6]ORÇAMENTO!X137</f>
        <v>250.02</v>
      </c>
      <c r="J117" s="3"/>
      <c r="K117" s="3"/>
    </row>
    <row r="118" spans="1:11" ht="24">
      <c r="A118" s="94" t="s">
        <v>171</v>
      </c>
      <c r="B118" s="105" t="str">
        <f>[6]ORÇAMENTO!P138</f>
        <v>SINAPI</v>
      </c>
      <c r="C118" s="105" t="str">
        <f>[6]ORÇAMENTO!Q138</f>
        <v>105229</v>
      </c>
      <c r="D118" s="106" t="str">
        <f>[6]ORÇAMENTO!R138</f>
        <v>BUCHA DE REDUÇÃO, PPR, DN 50 X 25 MM, INSTALADO EM RESERVAÇÃO PREDIAL DE ÁGUA - FORNECIMENTO E INSTALAÇÃO. AF_04/2024</v>
      </c>
      <c r="E118" s="16" t="str">
        <f>[6]ORÇAMENTO!S138</f>
        <v>UN</v>
      </c>
      <c r="F118" s="17">
        <f>[6]ORÇAMENTO!T138</f>
        <v>24</v>
      </c>
      <c r="G118" s="17">
        <f>[6]ORÇAMENTO!U138</f>
        <v>28.99</v>
      </c>
      <c r="H118" s="17">
        <f>[6]ORÇAMENTO!W138</f>
        <v>35.86</v>
      </c>
      <c r="I118" s="95">
        <f>[6]ORÇAMENTO!X138</f>
        <v>860.64</v>
      </c>
      <c r="J118" s="3"/>
      <c r="K118" s="3"/>
    </row>
    <row r="119" spans="1:11" ht="24">
      <c r="A119" s="94" t="s">
        <v>172</v>
      </c>
      <c r="B119" s="105" t="str">
        <f>[6]ORÇAMENTO!P139</f>
        <v>SINAPI</v>
      </c>
      <c r="C119" s="105">
        <f>[6]ORÇAMENTO!Q139</f>
        <v>89485</v>
      </c>
      <c r="D119" s="106" t="str">
        <f>[6]ORÇAMENTO!R139</f>
        <v>JOELHO 45 GRAUS, PVC, SOLDÁVEL, DN 25MM, INSTALADO EM PRUMADA DE ÁGUA - FORNECIMENTO E INSTALAÇÃO. AF_06/2022</v>
      </c>
      <c r="E119" s="16" t="str">
        <f>[6]ORÇAMENTO!S139</f>
        <v>UN</v>
      </c>
      <c r="F119" s="17">
        <f>[6]ORÇAMENTO!T139</f>
        <v>1.86</v>
      </c>
      <c r="G119" s="17">
        <f>[6]ORÇAMENTO!U139</f>
        <v>7.02</v>
      </c>
      <c r="H119" s="17">
        <f>[6]ORÇAMENTO!W139</f>
        <v>8.68</v>
      </c>
      <c r="I119" s="95">
        <f>[6]ORÇAMENTO!X139</f>
        <v>16.14</v>
      </c>
      <c r="J119" s="3"/>
      <c r="K119" s="3"/>
    </row>
    <row r="120" spans="1:11" ht="24">
      <c r="A120" s="94" t="s">
        <v>173</v>
      </c>
      <c r="B120" s="105" t="str">
        <f>[6]ORÇAMENTO!P140</f>
        <v>SINAPI</v>
      </c>
      <c r="C120" s="105">
        <f>[6]ORÇAMENTO!Q140</f>
        <v>89502</v>
      </c>
      <c r="D120" s="106" t="str">
        <f>[6]ORÇAMENTO!R140</f>
        <v>JOELHO 45 GRAUS, PVC, SOLDÁVEL, DN 50MM, INSTALADO EM PRUMADA DE ÁGUA - FORNECIMENTO E INSTALAÇÃO. AF_06/2022</v>
      </c>
      <c r="E120" s="16" t="str">
        <f>[6]ORÇAMENTO!S140</f>
        <v>UN</v>
      </c>
      <c r="F120" s="17">
        <f>[6]ORÇAMENTO!T140</f>
        <v>1.86</v>
      </c>
      <c r="G120" s="17">
        <f>[6]ORÇAMENTO!U140</f>
        <v>19.48</v>
      </c>
      <c r="H120" s="17">
        <f>[6]ORÇAMENTO!W140</f>
        <v>24.1</v>
      </c>
      <c r="I120" s="95">
        <f>[6]ORÇAMENTO!X140</f>
        <v>44.83</v>
      </c>
      <c r="J120" s="3"/>
      <c r="K120" s="3"/>
    </row>
    <row r="121" spans="1:11" ht="24">
      <c r="A121" s="94" t="s">
        <v>174</v>
      </c>
      <c r="B121" s="105" t="str">
        <f>[6]ORÇAMENTO!P141</f>
        <v>SINAPI</v>
      </c>
      <c r="C121" s="105">
        <f>[6]ORÇAMENTO!Q141</f>
        <v>89358</v>
      </c>
      <c r="D121" s="106" t="str">
        <f>[6]ORÇAMENTO!R141</f>
        <v>JOELHO 90 GRAUS, PVC, SOLDÁVEL, DN 20MM, INSTALADO EM RAMAL OU SUB-RAMAL DE ÁGUA - FORNECIMENTO E INSTALAÇÃO. AF_06/2022</v>
      </c>
      <c r="E121" s="16" t="str">
        <f>[6]ORÇAMENTO!S141</f>
        <v>UN</v>
      </c>
      <c r="F121" s="17">
        <f>[6]ORÇAMENTO!T141</f>
        <v>1.7</v>
      </c>
      <c r="G121" s="17">
        <f>[6]ORÇAMENTO!U141</f>
        <v>8.82</v>
      </c>
      <c r="H121" s="17">
        <f>[6]ORÇAMENTO!W141</f>
        <v>10.91</v>
      </c>
      <c r="I121" s="95">
        <f>[6]ORÇAMENTO!X141</f>
        <v>18.55</v>
      </c>
      <c r="J121" s="3"/>
      <c r="K121" s="3"/>
    </row>
    <row r="122" spans="1:11" ht="24">
      <c r="A122" s="94" t="s">
        <v>175</v>
      </c>
      <c r="B122" s="105" t="str">
        <f>[6]ORÇAMENTO!P142</f>
        <v>SINAPI</v>
      </c>
      <c r="C122" s="105">
        <f>[6]ORÇAMENTO!Q142</f>
        <v>89362</v>
      </c>
      <c r="D122" s="106" t="str">
        <f>[6]ORÇAMENTO!R142</f>
        <v>JOELHO 90 GRAUS, PVC, SOLDÁVEL, DN 25MM, INSTALADO EM RAMAL OU SUB-RAMAL DE ÁGUA - FORNECIMENTO E INSTALAÇÃO. AF_06/2022</v>
      </c>
      <c r="E122" s="16" t="str">
        <f>[6]ORÇAMENTO!S142</f>
        <v>UN</v>
      </c>
      <c r="F122" s="17">
        <f>[6]ORÇAMENTO!T142</f>
        <v>62.93</v>
      </c>
      <c r="G122" s="17">
        <f>[6]ORÇAMENTO!U142</f>
        <v>10.53</v>
      </c>
      <c r="H122" s="17">
        <f>[6]ORÇAMENTO!W142</f>
        <v>13.03</v>
      </c>
      <c r="I122" s="95">
        <f>[6]ORÇAMENTO!X142</f>
        <v>819.98</v>
      </c>
      <c r="J122" s="3"/>
      <c r="K122" s="3"/>
    </row>
    <row r="123" spans="1:11" ht="24">
      <c r="A123" s="94" t="s">
        <v>176</v>
      </c>
      <c r="B123" s="105" t="str">
        <f>[6]ORÇAMENTO!P143</f>
        <v>SINAPI</v>
      </c>
      <c r="C123" s="105">
        <f>[6]ORÇAMENTO!Q143</f>
        <v>89501</v>
      </c>
      <c r="D123" s="106" t="str">
        <f>[6]ORÇAMENTO!R143</f>
        <v>JOELHO 90 GRAUS, PVC, SOLDÁVEL, DN 50MM, INSTALADO EM PRUMADA DE ÁGUA - FORNECIMENTO E INSTALAÇÃO. AF_06/2022</v>
      </c>
      <c r="E123" s="16" t="str">
        <f>[6]ORÇAMENTO!S143</f>
        <v>UN</v>
      </c>
      <c r="F123" s="17">
        <f>[6]ORÇAMENTO!T143</f>
        <v>4.37</v>
      </c>
      <c r="G123" s="17">
        <f>[6]ORÇAMENTO!U143</f>
        <v>16.489999999999998</v>
      </c>
      <c r="H123" s="17">
        <f>[6]ORÇAMENTO!W143</f>
        <v>20.399999999999999</v>
      </c>
      <c r="I123" s="95">
        <f>[6]ORÇAMENTO!X143</f>
        <v>89.15</v>
      </c>
      <c r="J123" s="3"/>
      <c r="K123" s="3"/>
    </row>
    <row r="124" spans="1:11" ht="24">
      <c r="A124" s="94" t="s">
        <v>177</v>
      </c>
      <c r="B124" s="105" t="str">
        <f>[6]ORÇAMENTO!P144</f>
        <v>SINAPI</v>
      </c>
      <c r="C124" s="105">
        <f>[6]ORÇAMENTO!Q144</f>
        <v>89522</v>
      </c>
      <c r="D124" s="106" t="str">
        <f>[6]ORÇAMENTO!R144</f>
        <v>JOELHO 90 GRAUS, PVC, SERIE R, ÁGUA PLUVIAL, DN 75 MM, JUNTA ELÁSTICA, FORNECIDO E INSTALADO EM RAMAL DE ENCAMINHAMENTO. AF_06/2022</v>
      </c>
      <c r="E124" s="16" t="str">
        <f>[6]ORÇAMENTO!S144</f>
        <v>UN</v>
      </c>
      <c r="F124" s="17">
        <f>[6]ORÇAMENTO!T144</f>
        <v>17.22</v>
      </c>
      <c r="G124" s="17">
        <f>[6]ORÇAMENTO!U144</f>
        <v>32.72</v>
      </c>
      <c r="H124" s="17">
        <f>[6]ORÇAMENTO!W144</f>
        <v>40.479999999999997</v>
      </c>
      <c r="I124" s="95">
        <f>[6]ORÇAMENTO!X144</f>
        <v>697.07</v>
      </c>
      <c r="J124" s="3"/>
      <c r="K124" s="3"/>
    </row>
    <row r="125" spans="1:11" ht="36">
      <c r="A125" s="94" t="s">
        <v>178</v>
      </c>
      <c r="B125" s="105" t="str">
        <f>[6]ORÇAMENTO!P145</f>
        <v>SINAPI</v>
      </c>
      <c r="C125" s="105">
        <f>[6]ORÇAMENTO!Q145</f>
        <v>89645</v>
      </c>
      <c r="D125" s="106" t="str">
        <f>[6]ORÇAMENTO!R145</f>
        <v>JOELHO DE TRANSIÇÃO, 90 GRAUS, CPVC, SOLDÁVEL, DN 22MM X 3/4", INSTALADO EM RAMAL OU SUB-RAMAL DE ÁGUA - FORNECIMENTO E INSTALAÇÃO. AF_06/2022</v>
      </c>
      <c r="E125" s="16" t="str">
        <f>[6]ORÇAMENTO!S145</f>
        <v>UN</v>
      </c>
      <c r="F125" s="17">
        <f>[6]ORÇAMENTO!T145</f>
        <v>41.44</v>
      </c>
      <c r="G125" s="17">
        <f>[6]ORÇAMENTO!U145</f>
        <v>38.99</v>
      </c>
      <c r="H125" s="17">
        <f>[6]ORÇAMENTO!W145</f>
        <v>48.23</v>
      </c>
      <c r="I125" s="95">
        <f>[6]ORÇAMENTO!X145</f>
        <v>1998.65</v>
      </c>
    </row>
    <row r="126" spans="1:11" ht="24">
      <c r="A126" s="94" t="s">
        <v>179</v>
      </c>
      <c r="B126" s="105" t="str">
        <f>[6]ORÇAMENTO!P146</f>
        <v>SINAPI</v>
      </c>
      <c r="C126" s="105">
        <f>[6]ORÇAMENTO!Q146</f>
        <v>89424</v>
      </c>
      <c r="D126" s="106" t="str">
        <f>[6]ORÇAMENTO!R146</f>
        <v>LUVA, PVC, SOLDÁVEL, DN 25MM, INSTALADO EM RAMAL DE DISTRIBUIÇÃO DE ÁGUA - FORNECIMENTO E INSTALAÇÃO. AF_06/2022</v>
      </c>
      <c r="E126" s="16" t="str">
        <f>[6]ORÇAMENTO!S146</f>
        <v>UN</v>
      </c>
      <c r="F126" s="17">
        <f>[6]ORÇAMENTO!T146</f>
        <v>7.42</v>
      </c>
      <c r="G126" s="17">
        <f>[6]ORÇAMENTO!U146</f>
        <v>7.33</v>
      </c>
      <c r="H126" s="17">
        <f>[6]ORÇAMENTO!W146</f>
        <v>9.07</v>
      </c>
      <c r="I126" s="95">
        <f>[6]ORÇAMENTO!X146</f>
        <v>67.3</v>
      </c>
    </row>
    <row r="127" spans="1:11" ht="24">
      <c r="A127" s="94" t="s">
        <v>180</v>
      </c>
      <c r="B127" s="105" t="str">
        <f>[6]ORÇAMENTO!P147</f>
        <v>SINAPI</v>
      </c>
      <c r="C127" s="105">
        <f>[6]ORÇAMENTO!Q147</f>
        <v>89395</v>
      </c>
      <c r="D127" s="106" t="str">
        <f>[6]ORÇAMENTO!R147</f>
        <v>TE, PVC, SOLDÁVEL, DN 25MM, INSTALADO EM RAMAL OU SUB-RAMAL DE ÁGUA - FORNECIMENTO E INSTALAÇÃO. AF_06/2022</v>
      </c>
      <c r="E127" s="16" t="str">
        <f>[6]ORÇAMENTO!S147</f>
        <v>UN</v>
      </c>
      <c r="F127" s="17">
        <f>[6]ORÇAMENTO!T147</f>
        <v>12.83</v>
      </c>
      <c r="G127" s="17">
        <f>[6]ORÇAMENTO!U147</f>
        <v>14.57</v>
      </c>
      <c r="H127" s="17">
        <f>[6]ORÇAMENTO!W147</f>
        <v>18.02</v>
      </c>
      <c r="I127" s="95">
        <f>[6]ORÇAMENTO!X147</f>
        <v>231.2</v>
      </c>
    </row>
    <row r="128" spans="1:11" ht="24">
      <c r="A128" s="94" t="s">
        <v>181</v>
      </c>
      <c r="B128" s="105" t="str">
        <f>[6]ORÇAMENTO!P148</f>
        <v>SINAPI-I</v>
      </c>
      <c r="C128" s="105">
        <f>[6]ORÇAMENTO!Q148</f>
        <v>12613</v>
      </c>
      <c r="D128" s="106" t="str">
        <f>[6]ORÇAMENTO!R148</f>
        <v>TUBO DE DESCARGA, TIPO BENGALA, PARA LIGACAO CAIXA DE DESCARGA - EMBUTIR, PVC, 40 MM X 150 CM</v>
      </c>
      <c r="E128" s="16" t="str">
        <f>[6]ORÇAMENTO!S148</f>
        <v>UN</v>
      </c>
      <c r="F128" s="17">
        <f>[6]ORÇAMENTO!T148</f>
        <v>0.45</v>
      </c>
      <c r="G128" s="17">
        <f>[6]ORÇAMENTO!U148</f>
        <v>19.920000000000002</v>
      </c>
      <c r="H128" s="17">
        <f>[6]ORÇAMENTO!W148</f>
        <v>24.64</v>
      </c>
      <c r="I128" s="95">
        <f>[6]ORÇAMENTO!X148</f>
        <v>11.09</v>
      </c>
    </row>
    <row r="129" spans="1:11" ht="24">
      <c r="A129" s="94" t="s">
        <v>182</v>
      </c>
      <c r="B129" s="105" t="str">
        <f>[6]ORÇAMENTO!P149</f>
        <v>SINAPI-I</v>
      </c>
      <c r="C129" s="105">
        <f>[6]ORÇAMENTO!Q149</f>
        <v>11670</v>
      </c>
      <c r="D129" s="106" t="str">
        <f>[6]ORÇAMENTO!R149</f>
        <v>REGISTRO DE ESFERA, PVC, COM VOLANTE, VS, ROSCAVEL, DN 1/2", COM CORPO DIVIDIDO</v>
      </c>
      <c r="E129" s="16" t="str">
        <f>[6]ORÇAMENTO!S149</f>
        <v>UN</v>
      </c>
      <c r="F129" s="17">
        <f>[6]ORÇAMENTO!T149</f>
        <v>1</v>
      </c>
      <c r="G129" s="17">
        <f>[6]ORÇAMENTO!U149</f>
        <v>31.43</v>
      </c>
      <c r="H129" s="17">
        <f>[6]ORÇAMENTO!W149</f>
        <v>38.880000000000003</v>
      </c>
      <c r="I129" s="95">
        <f>[6]ORÇAMENTO!X149</f>
        <v>38.880000000000003</v>
      </c>
    </row>
    <row r="130" spans="1:11">
      <c r="A130" s="94" t="s">
        <v>183</v>
      </c>
      <c r="B130" s="105" t="str">
        <f>[6]ORÇAMENTO!P150</f>
        <v>SINAPI-I</v>
      </c>
      <c r="C130" s="105">
        <f>[6]ORÇAMENTO!Q150</f>
        <v>6028</v>
      </c>
      <c r="D130" s="106" t="str">
        <f>[6]ORÇAMENTO!R150</f>
        <v>REGISTRO GAVETA BRUTO EM LATAO FORJADO, BITOLA 2"</v>
      </c>
      <c r="E130" s="16" t="str">
        <f>[6]ORÇAMENTO!S150</f>
        <v>UN</v>
      </c>
      <c r="F130" s="17">
        <f>[6]ORÇAMENTO!T150</f>
        <v>4</v>
      </c>
      <c r="G130" s="17">
        <f>[6]ORÇAMENTO!U150</f>
        <v>168.01</v>
      </c>
      <c r="H130" s="17">
        <f>[6]ORÇAMENTO!W150</f>
        <v>207.85</v>
      </c>
      <c r="I130" s="95">
        <f>[6]ORÇAMENTO!X150</f>
        <v>831.4</v>
      </c>
    </row>
    <row r="131" spans="1:11">
      <c r="A131" s="94" t="s">
        <v>184</v>
      </c>
      <c r="B131" s="105" t="str">
        <f>[6]ORÇAMENTO!P151</f>
        <v>SINAPI-I</v>
      </c>
      <c r="C131" s="105">
        <f>[6]ORÇAMENTO!Q151</f>
        <v>6011</v>
      </c>
      <c r="D131" s="106" t="str">
        <f>[6]ORÇAMENTO!R151</f>
        <v>REGISTRO GAVETA BRUTO EM LATAO FORJADO, BITOLA 2 1/2"</v>
      </c>
      <c r="E131" s="16" t="str">
        <f>[6]ORÇAMENTO!S151</f>
        <v>UN</v>
      </c>
      <c r="F131" s="17">
        <f>[6]ORÇAMENTO!T151</f>
        <v>6</v>
      </c>
      <c r="G131" s="17">
        <f>[6]ORÇAMENTO!U151</f>
        <v>348.44</v>
      </c>
      <c r="H131" s="17">
        <f>[6]ORÇAMENTO!W151</f>
        <v>431.06</v>
      </c>
      <c r="I131" s="95">
        <f>[6]ORÇAMENTO!X151</f>
        <v>2586.36</v>
      </c>
    </row>
    <row r="132" spans="1:11" ht="24">
      <c r="A132" s="94" t="s">
        <v>185</v>
      </c>
      <c r="B132" s="105" t="str">
        <f>[6]ORÇAMENTO!P152</f>
        <v>SINAPI-I</v>
      </c>
      <c r="C132" s="105">
        <f>[6]ORÇAMENTO!Q152</f>
        <v>6006</v>
      </c>
      <c r="D132" s="106" t="str">
        <f>[6]ORÇAMENTO!R152</f>
        <v>REGISTRO GAVETA COM ACABAMENTO E CANOPLA CROMADOS, SIMPLES, BITOLA 1/2"</v>
      </c>
      <c r="E132" s="16" t="str">
        <f>[6]ORÇAMENTO!S152</f>
        <v>UN</v>
      </c>
      <c r="F132" s="17">
        <f>[6]ORÇAMENTO!T152</f>
        <v>1</v>
      </c>
      <c r="G132" s="17">
        <f>[6]ORÇAMENTO!U152</f>
        <v>96.05</v>
      </c>
      <c r="H132" s="17">
        <f>[6]ORÇAMENTO!W152</f>
        <v>118.82</v>
      </c>
      <c r="I132" s="95">
        <f>[6]ORÇAMENTO!X152</f>
        <v>118.82</v>
      </c>
    </row>
    <row r="133" spans="1:11" ht="24">
      <c r="A133" s="94" t="s">
        <v>186</v>
      </c>
      <c r="B133" s="105" t="str">
        <f>[6]ORÇAMENTO!P153</f>
        <v>SINAPI-I</v>
      </c>
      <c r="C133" s="105">
        <f>[6]ORÇAMENTO!Q153</f>
        <v>6013</v>
      </c>
      <c r="D133" s="106" t="str">
        <f>[6]ORÇAMENTO!R153</f>
        <v>REGISTRO GAVETA COM ACABAMENTO E CANOPLA CROMADOS, SIMPLES, BITOLA 1"</v>
      </c>
      <c r="E133" s="16" t="str">
        <f>[6]ORÇAMENTO!S153</f>
        <v>UN</v>
      </c>
      <c r="F133" s="17">
        <f>[6]ORÇAMENTO!T153</f>
        <v>1</v>
      </c>
      <c r="G133" s="17">
        <f>[6]ORÇAMENTO!U153</f>
        <v>132.63</v>
      </c>
      <c r="H133" s="17">
        <f>[6]ORÇAMENTO!W153</f>
        <v>164.08</v>
      </c>
      <c r="I133" s="95">
        <f>[6]ORÇAMENTO!X153</f>
        <v>164.08</v>
      </c>
    </row>
    <row r="134" spans="1:11" ht="24">
      <c r="A134" s="94" t="s">
        <v>187</v>
      </c>
      <c r="B134" s="105" t="str">
        <f>[6]ORÇAMENTO!P154</f>
        <v>SINAPI-I</v>
      </c>
      <c r="C134" s="105">
        <f>[6]ORÇAMENTO!Q154</f>
        <v>6015</v>
      </c>
      <c r="D134" s="106" t="str">
        <f>[6]ORÇAMENTO!R154</f>
        <v>REGISTRO GAVETA COM ACABAMENTO E CANOPLA CROMADOS, SIMPLES, BITOLA 1 1/2"</v>
      </c>
      <c r="E134" s="16" t="str">
        <f>[6]ORÇAMENTO!S154</f>
        <v>UN</v>
      </c>
      <c r="F134" s="17">
        <f>[6]ORÇAMENTO!T154</f>
        <v>4</v>
      </c>
      <c r="G134" s="17">
        <f>[6]ORÇAMENTO!U154</f>
        <v>192.88</v>
      </c>
      <c r="H134" s="17">
        <f>[6]ORÇAMENTO!W154</f>
        <v>238.61</v>
      </c>
      <c r="I134" s="95">
        <f>[6]ORÇAMENTO!X154</f>
        <v>954.44</v>
      </c>
    </row>
    <row r="135" spans="1:11" ht="24">
      <c r="A135" s="94" t="s">
        <v>188</v>
      </c>
      <c r="B135" s="105" t="str">
        <f>[6]ORÇAMENTO!P155</f>
        <v>SINAPI-I</v>
      </c>
      <c r="C135" s="105">
        <f>[6]ORÇAMENTO!Q155</f>
        <v>6005</v>
      </c>
      <c r="D135" s="106" t="str">
        <f>[6]ORÇAMENTO!R155</f>
        <v>REGISTRO GAVETA COM ACABAMENTO E CANOPLA CROMADOS, SIMPLES, BITOLA 3/4"</v>
      </c>
      <c r="E135" s="16" t="str">
        <f>[6]ORÇAMENTO!S155</f>
        <v>UN</v>
      </c>
      <c r="F135" s="17">
        <f>[6]ORÇAMENTO!T155</f>
        <v>26</v>
      </c>
      <c r="G135" s="17">
        <f>[6]ORÇAMENTO!U155</f>
        <v>108.35</v>
      </c>
      <c r="H135" s="17">
        <f>[6]ORÇAMENTO!W155</f>
        <v>134.04</v>
      </c>
      <c r="I135" s="95">
        <f>[6]ORÇAMENTO!X155</f>
        <v>3485.04</v>
      </c>
    </row>
    <row r="136" spans="1:11" ht="24">
      <c r="A136" s="94" t="s">
        <v>189</v>
      </c>
      <c r="B136" s="105" t="str">
        <f>[6]ORÇAMENTO!P156</f>
        <v>SINAPI-I</v>
      </c>
      <c r="C136" s="105">
        <f>[6]ORÇAMENTO!Q156</f>
        <v>6024</v>
      </c>
      <c r="D136" s="106" t="str">
        <f>[6]ORÇAMENTO!R156</f>
        <v>REGISTRO PRESSAO COM ACABAMENTO E CANOPLA CROMADA, SIMPLES, BITOLA 3/4"</v>
      </c>
      <c r="E136" s="16" t="str">
        <f>[6]ORÇAMENTO!S156</f>
        <v>UN</v>
      </c>
      <c r="F136" s="17">
        <f>[6]ORÇAMENTO!T156</f>
        <v>2</v>
      </c>
      <c r="G136" s="17">
        <f>[6]ORÇAMENTO!U156</f>
        <v>102.19</v>
      </c>
      <c r="H136" s="17">
        <f>[6]ORÇAMENTO!W156</f>
        <v>126.42</v>
      </c>
      <c r="I136" s="95">
        <f>[6]ORÇAMENTO!X156</f>
        <v>252.84</v>
      </c>
    </row>
    <row r="137" spans="1:11" s="116" customFormat="1">
      <c r="A137" s="117">
        <v>10</v>
      </c>
      <c r="B137" s="118"/>
      <c r="C137" s="118"/>
      <c r="D137" s="119" t="str">
        <f>[6]ORÇAMENTO!R158</f>
        <v>DRENAGEM DE ÁGUAS PLUVIAIS</v>
      </c>
      <c r="E137" s="120"/>
      <c r="F137" s="121"/>
      <c r="G137" s="121"/>
      <c r="H137" s="121"/>
      <c r="I137" s="122">
        <f>[6]ORÇAMENTO!X158</f>
        <v>76166.63</v>
      </c>
      <c r="J137" s="115"/>
      <c r="K137" s="115"/>
    </row>
    <row r="138" spans="1:11" s="116" customFormat="1">
      <c r="A138" s="117" t="s">
        <v>190</v>
      </c>
      <c r="B138" s="118"/>
      <c r="C138" s="118"/>
      <c r="D138" s="119" t="str">
        <f>[6]ORÇAMENTO!R159</f>
        <v>TUBULAÇÕES E CONEXÕES DE PVC</v>
      </c>
      <c r="E138" s="120"/>
      <c r="F138" s="121"/>
      <c r="G138" s="121"/>
      <c r="H138" s="121"/>
      <c r="I138" s="122">
        <f>[6]ORÇAMENTO!X159</f>
        <v>3052.8</v>
      </c>
      <c r="J138" s="115"/>
      <c r="K138" s="115"/>
    </row>
    <row r="139" spans="1:11" ht="24">
      <c r="A139" s="94" t="s">
        <v>191</v>
      </c>
      <c r="B139" s="105" t="str">
        <f>[6]ORÇAMENTO!P160</f>
        <v>SINAPI</v>
      </c>
      <c r="C139" s="105" t="str">
        <f>[6]ORÇAMENTO!Q160</f>
        <v>89848</v>
      </c>
      <c r="D139" s="106" t="str">
        <f>[6]ORÇAMENTO!R160</f>
        <v>TUBO PVC, SERIE NORMAL, ESGOTO PREDIAL, DN 100 MM, FORNECIDO E INSTALADO EM SUBCOLETOR AÉREO DE ESGOTO SANITÁRIO. AF_08/2022</v>
      </c>
      <c r="E139" s="16" t="str">
        <f>[6]ORÇAMENTO!S160</f>
        <v>M</v>
      </c>
      <c r="F139" s="17">
        <f>[6]ORÇAMENTO!T160</f>
        <v>80</v>
      </c>
      <c r="G139" s="17">
        <f>[6]ORÇAMENTO!U160</f>
        <v>30.85</v>
      </c>
      <c r="H139" s="17">
        <f>[6]ORÇAMENTO!W160</f>
        <v>38.159999999999997</v>
      </c>
      <c r="I139" s="95">
        <f>[6]ORÇAMENTO!X160</f>
        <v>3052.8</v>
      </c>
    </row>
    <row r="140" spans="1:11" s="116" customFormat="1">
      <c r="A140" s="117" t="s">
        <v>214</v>
      </c>
      <c r="B140" s="118"/>
      <c r="C140" s="118"/>
      <c r="D140" s="119" t="str">
        <f>[6]ORÇAMENTO!R162</f>
        <v>ACESSÓRIOS</v>
      </c>
      <c r="E140" s="120"/>
      <c r="F140" s="121"/>
      <c r="G140" s="121"/>
      <c r="H140" s="121"/>
      <c r="I140" s="122">
        <f>[6]ORÇAMENTO!X162</f>
        <v>289.08</v>
      </c>
      <c r="J140" s="115"/>
      <c r="K140" s="115"/>
    </row>
    <row r="141" spans="1:11" ht="36">
      <c r="A141" s="94" t="s">
        <v>215</v>
      </c>
      <c r="B141" s="105" t="str">
        <f>[6]ORÇAMENTO!P163</f>
        <v>SINAPI</v>
      </c>
      <c r="C141" s="105" t="str">
        <f>[6]ORÇAMENTO!Q163</f>
        <v>89710</v>
      </c>
      <c r="D141" s="106" t="str">
        <f>[6]ORÇAMENTO!R163</f>
        <v>RALO SECO, PVC, DN 100 X 40 MM, JUNTA SOLDÁVEL, FORNECIDO E INSTALADO EM RAMAL DE DESCARGA OU EM RAMAL DE ESGOTO SANITÁRIO. AF_08/2022</v>
      </c>
      <c r="E141" s="16" t="str">
        <f>[6]ORÇAMENTO!S163</f>
        <v>UN</v>
      </c>
      <c r="F141" s="17">
        <f>[6]ORÇAMENTO!T163</f>
        <v>12</v>
      </c>
      <c r="G141" s="17">
        <f>[6]ORÇAMENTO!U163</f>
        <v>19.47</v>
      </c>
      <c r="H141" s="17">
        <f>[6]ORÇAMENTO!W163</f>
        <v>24.09</v>
      </c>
      <c r="I141" s="95">
        <f>[6]ORÇAMENTO!X163</f>
        <v>289.08</v>
      </c>
    </row>
    <row r="142" spans="1:11" s="116" customFormat="1">
      <c r="A142" s="117" t="s">
        <v>216</v>
      </c>
      <c r="B142" s="118"/>
      <c r="C142" s="118"/>
      <c r="D142" s="119" t="str">
        <f>[6]ORÇAMENTO!R165</f>
        <v xml:space="preserve">INSTALAÇÕES SANITÁRIA </v>
      </c>
      <c r="E142" s="120"/>
      <c r="F142" s="121"/>
      <c r="G142" s="121"/>
      <c r="H142" s="121"/>
      <c r="I142" s="122">
        <f>[6]ORÇAMENTO!X165</f>
        <v>14815.3</v>
      </c>
      <c r="J142" s="115"/>
      <c r="K142" s="115"/>
    </row>
    <row r="143" spans="1:11" ht="36">
      <c r="A143" s="94" t="s">
        <v>217</v>
      </c>
      <c r="B143" s="105" t="str">
        <f>[6]ORÇAMENTO!P166</f>
        <v>SINAPI</v>
      </c>
      <c r="C143" s="105" t="str">
        <f>[6]ORÇAMENTO!Q166</f>
        <v>89710</v>
      </c>
      <c r="D143" s="106" t="str">
        <f>[6]ORÇAMENTO!R166</f>
        <v>RALO SECO, PVC, DN 100 X 40 MM, JUNTA SOLDÁVEL, FORNECIDO E INSTALADO EM RAMAL DE DESCARGA OU EM RAMAL DE ESGOTO SANITÁRIO. AF_08/2022</v>
      </c>
      <c r="E143" s="16" t="str">
        <f>[6]ORÇAMENTO!S166</f>
        <v>UN</v>
      </c>
      <c r="F143" s="17">
        <f>[6]ORÇAMENTO!T166</f>
        <v>18</v>
      </c>
      <c r="G143" s="17">
        <f>[6]ORÇAMENTO!U166</f>
        <v>19.47</v>
      </c>
      <c r="H143" s="17">
        <f>[6]ORÇAMENTO!W166</f>
        <v>24.09</v>
      </c>
      <c r="I143" s="95">
        <f>[6]ORÇAMENTO!X166</f>
        <v>433.62</v>
      </c>
    </row>
    <row r="144" spans="1:11">
      <c r="A144" s="94" t="s">
        <v>218</v>
      </c>
      <c r="B144" s="105" t="str">
        <f>[6]ORÇAMENTO!P167</f>
        <v>Composição</v>
      </c>
      <c r="C144" s="105" t="str">
        <f>[6]ORÇAMENTO!Q167</f>
        <v>074</v>
      </c>
      <c r="D144" s="106" t="str">
        <f>[6]ORÇAMENTO!R167</f>
        <v>SUMIDOURO EM ALVENARIA 2,40 X 2,40 M</v>
      </c>
      <c r="E144" s="16" t="str">
        <f>[6]ORÇAMENTO!S167</f>
        <v xml:space="preserve">UN    </v>
      </c>
      <c r="F144" s="17">
        <f>[6]ORÇAMENTO!T167</f>
        <v>1</v>
      </c>
      <c r="G144" s="17">
        <f>[6]ORÇAMENTO!U167</f>
        <v>5598.56</v>
      </c>
      <c r="H144" s="17">
        <f>[6]ORÇAMENTO!W167</f>
        <v>6925.98</v>
      </c>
      <c r="I144" s="95">
        <f>[6]ORÇAMENTO!X167</f>
        <v>6925.98</v>
      </c>
    </row>
    <row r="145" spans="1:11" ht="36">
      <c r="A145" s="94" t="s">
        <v>219</v>
      </c>
      <c r="B145" s="105" t="str">
        <f>[6]ORÇAMENTO!P168</f>
        <v>Composição</v>
      </c>
      <c r="C145" s="105" t="str">
        <f>[6]ORÇAMENTO!Q168</f>
        <v>075</v>
      </c>
      <c r="D145" s="106" t="str">
        <f>[6]ORÇAMENTO!R168</f>
        <v>FOSSA SEPTICA, SEM FILTRO, EM POLIETILENO DE ALTA DENSIDADE, CAPACIDADE APROXIMADA DE *5500* LITROS. FORNECIMENTO E INSTALAÇÃO.</v>
      </c>
      <c r="E145" s="16" t="str">
        <f>[6]ORÇAMENTO!S168</f>
        <v xml:space="preserve">UN    </v>
      </c>
      <c r="F145" s="17">
        <f>[6]ORÇAMENTO!T168</f>
        <v>1</v>
      </c>
      <c r="G145" s="17">
        <f>[6]ORÇAMENTO!U168</f>
        <v>6026.76</v>
      </c>
      <c r="H145" s="17">
        <f>[6]ORÇAMENTO!W168</f>
        <v>7455.7</v>
      </c>
      <c r="I145" s="95">
        <f>[6]ORÇAMENTO!X168</f>
        <v>7455.7</v>
      </c>
    </row>
    <row r="146" spans="1:11" s="116" customFormat="1">
      <c r="A146" s="117" t="s">
        <v>220</v>
      </c>
      <c r="B146" s="118"/>
      <c r="C146" s="118"/>
      <c r="D146" s="119" t="str">
        <f>[6]ORÇAMENTO!R169</f>
        <v xml:space="preserve">LOUÇAS E METAIS </v>
      </c>
      <c r="E146" s="120"/>
      <c r="F146" s="121"/>
      <c r="G146" s="121"/>
      <c r="H146" s="121"/>
      <c r="I146" s="122">
        <f>[6]ORÇAMENTO!X169</f>
        <v>58009.45</v>
      </c>
      <c r="J146" s="115"/>
      <c r="K146" s="115"/>
    </row>
    <row r="147" spans="1:11" ht="36">
      <c r="A147" s="94" t="s">
        <v>221</v>
      </c>
      <c r="B147" s="105" t="str">
        <f>[6]ORÇAMENTO!P170</f>
        <v>SINAPI</v>
      </c>
      <c r="C147" s="105" t="str">
        <f>[6]ORÇAMENTO!Q170</f>
        <v>95472</v>
      </c>
      <c r="D147" s="106" t="str">
        <f>[6]ORÇAMENTO!R170</f>
        <v>VASO SANITARIO SIFONADO CONVENCIONAL PARA PCD SEM FURO FRONTAL COM LOUÇA BRANCA SEM ASSENTO, INCLUSO CONJUNTO DE LIGAÇÃO PARA BACIA SANITÁRIA AJUSTÁVEL - FORNECIMENTO E INSTALAÇÃO. AF_01/2020</v>
      </c>
      <c r="E147" s="16" t="str">
        <f>[6]ORÇAMENTO!S170</f>
        <v>UN</v>
      </c>
      <c r="F147" s="17">
        <f>[6]ORÇAMENTO!T170</f>
        <v>2</v>
      </c>
      <c r="G147" s="17">
        <f>[6]ORÇAMENTO!U170</f>
        <v>863.05</v>
      </c>
      <c r="H147" s="17">
        <f>[6]ORÇAMENTO!W170</f>
        <v>1067.68</v>
      </c>
      <c r="I147" s="95">
        <f>[6]ORÇAMENTO!X170</f>
        <v>2135.36</v>
      </c>
    </row>
    <row r="148" spans="1:11" ht="36">
      <c r="A148" s="94" t="s">
        <v>222</v>
      </c>
      <c r="B148" s="105" t="str">
        <f>[6]ORÇAMENTO!P171</f>
        <v>SINAPI</v>
      </c>
      <c r="C148" s="105" t="str">
        <f>[6]ORÇAMENTO!Q171</f>
        <v>95470</v>
      </c>
      <c r="D148" s="106" t="str">
        <f>[6]ORÇAMENTO!R171</f>
        <v>VASO SANITARIO SIFONADO CONVENCIONAL COM LOUÇA BRANCA, INCLUSO CONJUNTO DE LIGAÇÃO PARA BACIA SANITÁRIA AJUSTÁVEL - FORNECIMENTO E INSTALAÇÃO. AF_01/2020</v>
      </c>
      <c r="E148" s="16" t="str">
        <f>[6]ORÇAMENTO!S171</f>
        <v>UN</v>
      </c>
      <c r="F148" s="17">
        <f>[6]ORÇAMENTO!T171</f>
        <v>2</v>
      </c>
      <c r="G148" s="17">
        <f>[6]ORÇAMENTO!U171</f>
        <v>330.6</v>
      </c>
      <c r="H148" s="17">
        <f>[6]ORÇAMENTO!W171</f>
        <v>408.99</v>
      </c>
      <c r="I148" s="95">
        <f>[6]ORÇAMENTO!X171</f>
        <v>817.98</v>
      </c>
    </row>
    <row r="149" spans="1:11">
      <c r="A149" s="94" t="s">
        <v>223</v>
      </c>
      <c r="B149" s="105" t="str">
        <f>[6]ORÇAMENTO!P172</f>
        <v>Composição</v>
      </c>
      <c r="C149" s="105" t="str">
        <f>[6]ORÇAMENTO!Q172</f>
        <v>027</v>
      </c>
      <c r="D149" s="106" t="str">
        <f>[6]ORÇAMENTO!R172</f>
        <v>BACIA CONVENCIONAL STUDIO KIDS</v>
      </c>
      <c r="E149" s="16" t="str">
        <f>[6]ORÇAMENTO!S172</f>
        <v>UN</v>
      </c>
      <c r="F149" s="17">
        <f>[6]ORÇAMENTO!T172</f>
        <v>10</v>
      </c>
      <c r="G149" s="17">
        <f>[6]ORÇAMENTO!U172</f>
        <v>330.6</v>
      </c>
      <c r="H149" s="17">
        <f>[6]ORÇAMENTO!W172</f>
        <v>408.99</v>
      </c>
      <c r="I149" s="95">
        <f>[6]ORÇAMENTO!X172</f>
        <v>4089.9</v>
      </c>
    </row>
    <row r="150" spans="1:11" ht="24">
      <c r="A150" s="94" t="s">
        <v>224</v>
      </c>
      <c r="B150" s="105" t="str">
        <f>[6]ORÇAMENTO!P173</f>
        <v>SINAPI</v>
      </c>
      <c r="C150" s="105" t="str">
        <f>[6]ORÇAMENTO!Q173</f>
        <v>86901</v>
      </c>
      <c r="D150" s="106" t="str">
        <f>[6]ORÇAMENTO!R173</f>
        <v>CUBA DE EMBUTIR OVAL EM LOUÇA BRANCA, 35 X 50CM OU EQUIVALENTE - FORNECIMENTO E INSTALAÇÃO. AF_01/2020</v>
      </c>
      <c r="E150" s="16" t="str">
        <f>[6]ORÇAMENTO!S173</f>
        <v>UN</v>
      </c>
      <c r="F150" s="17">
        <f>[6]ORÇAMENTO!T173</f>
        <v>13</v>
      </c>
      <c r="G150" s="17">
        <f>[6]ORÇAMENTO!U173</f>
        <v>161.77000000000001</v>
      </c>
      <c r="H150" s="17">
        <f>[6]ORÇAMENTO!W173</f>
        <v>200.13</v>
      </c>
      <c r="I150" s="95">
        <f>[6]ORÇAMENTO!X173</f>
        <v>2601.69</v>
      </c>
    </row>
    <row r="151" spans="1:11" ht="48">
      <c r="A151" s="94" t="s">
        <v>225</v>
      </c>
      <c r="B151" s="105" t="str">
        <f>[6]ORÇAMENTO!P174</f>
        <v>Composição</v>
      </c>
      <c r="C151" s="105" t="str">
        <f>[6]ORÇAMENTO!Q174</f>
        <v>028</v>
      </c>
      <c r="D151" s="106" t="str">
        <f>[6]ORÇAMENTO!R174</f>
        <v xml:space="preserve">CUBA INDUSTRIAL 50X40 PROFUNDIDA 30 - HIDRONOX OU EQUIVALENTE, COM SIFÃO EM METAL CROMADO 1.1/2X1.1/2", VÁLVULA EM METAL CROMADO TIPO AMERICANA 3.1/2"X1.1/2" PARA PIA - FORNECIMENTO E INSTALAÇÃO   </v>
      </c>
      <c r="E151" s="16" t="str">
        <f>[6]ORÇAMENTO!S174</f>
        <v>UN</v>
      </c>
      <c r="F151" s="17">
        <f>[6]ORÇAMENTO!T174</f>
        <v>3</v>
      </c>
      <c r="G151" s="17">
        <f>[6]ORÇAMENTO!U174</f>
        <v>665.41</v>
      </c>
      <c r="H151" s="17">
        <f>[6]ORÇAMENTO!W174</f>
        <v>823.18</v>
      </c>
      <c r="I151" s="95">
        <f>[6]ORÇAMENTO!X174</f>
        <v>2469.54</v>
      </c>
    </row>
    <row r="152" spans="1:11" ht="24">
      <c r="A152" s="94" t="s">
        <v>226</v>
      </c>
      <c r="B152" s="105" t="str">
        <f>[6]ORÇAMENTO!P175</f>
        <v>SINAPI</v>
      </c>
      <c r="C152" s="105" t="str">
        <f>[6]ORÇAMENTO!Q175</f>
        <v>86900</v>
      </c>
      <c r="D152" s="106" t="str">
        <f>[6]ORÇAMENTO!R175</f>
        <v>CUBA DE EMBUTIR RETANGULAR DE AÇO INOXIDÁVEL, 46 X 30 X 12 CM - FORNECIMENTO E INSTALAÇÃO. AF_01/2020</v>
      </c>
      <c r="E152" s="16" t="str">
        <f>[6]ORÇAMENTO!S175</f>
        <v>UN</v>
      </c>
      <c r="F152" s="17">
        <f>[6]ORÇAMENTO!T175</f>
        <v>9</v>
      </c>
      <c r="G152" s="17">
        <f>[6]ORÇAMENTO!U175</f>
        <v>227</v>
      </c>
      <c r="H152" s="17">
        <f>[6]ORÇAMENTO!W175</f>
        <v>280.82</v>
      </c>
      <c r="I152" s="95">
        <f>[6]ORÇAMENTO!X175</f>
        <v>2527.38</v>
      </c>
    </row>
    <row r="153" spans="1:11" ht="24">
      <c r="A153" s="94" t="s">
        <v>227</v>
      </c>
      <c r="B153" s="105" t="str">
        <f>[6]ORÇAMENTO!P176</f>
        <v>Cotação</v>
      </c>
      <c r="C153" s="105" t="str">
        <f>[6]ORÇAMENTO!Q176</f>
        <v>01</v>
      </c>
      <c r="D153" s="106" t="str">
        <f>[6]ORÇAMENTO!R176</f>
        <v>BANHEIRA EMBUTIR EM PLÁSTICO TIPO PVC, 77X45X20CM, BURIGOTTO OU EQUIVALENTE</v>
      </c>
      <c r="E153" s="16" t="str">
        <f>[6]ORÇAMENTO!S176</f>
        <v>UN</v>
      </c>
      <c r="F153" s="17">
        <f>[6]ORÇAMENTO!T176</f>
        <v>2</v>
      </c>
      <c r="G153" s="17">
        <f>[6]ORÇAMENTO!U176</f>
        <v>377.48</v>
      </c>
      <c r="H153" s="17">
        <f>[6]ORÇAMENTO!W176</f>
        <v>466.98</v>
      </c>
      <c r="I153" s="95">
        <f>[6]ORÇAMENTO!X176</f>
        <v>933.96</v>
      </c>
    </row>
    <row r="154" spans="1:11" ht="48">
      <c r="A154" s="94" t="s">
        <v>228</v>
      </c>
      <c r="B154" s="105" t="str">
        <f>[6]ORÇAMENTO!P177</f>
        <v>Composição</v>
      </c>
      <c r="C154" s="105" t="str">
        <f>[6]ORÇAMENTO!Q177</f>
        <v>029</v>
      </c>
      <c r="D154" s="106" t="str">
        <f>[6]ORÇAMENTO!R177</f>
        <v>LAVATÓRIO DE CANTO SUSPENSO COM MESA, LINHA IZY CÓDIGO L101.17, DECA OU EQUIVALENTE, COM VÁLVULA, SIFÃO E ENGATE FLEXÍVEL, CROMADOS. FORNECIMENTO E INSTALAÇÃO (BASEADA NA COMPOSIÇÃO 86942 - REF 04-2023)</v>
      </c>
      <c r="E154" s="16" t="str">
        <f>[6]ORÇAMENTO!S177</f>
        <v>UN</v>
      </c>
      <c r="F154" s="17">
        <f>[6]ORÇAMENTO!T177</f>
        <v>3</v>
      </c>
      <c r="G154" s="17">
        <f>[6]ORÇAMENTO!U177</f>
        <v>358.22</v>
      </c>
      <c r="H154" s="17">
        <f>[6]ORÇAMENTO!W177</f>
        <v>443.15</v>
      </c>
      <c r="I154" s="95">
        <f>[6]ORÇAMENTO!X177</f>
        <v>1329.45</v>
      </c>
    </row>
    <row r="155" spans="1:11" ht="36">
      <c r="A155" s="94" t="s">
        <v>229</v>
      </c>
      <c r="B155" s="105" t="str">
        <f>[6]ORÇAMENTO!P178</f>
        <v>Composição</v>
      </c>
      <c r="C155" s="105" t="str">
        <f>[6]ORÇAMENTO!Q178</f>
        <v>030</v>
      </c>
      <c r="D155" s="106" t="str">
        <f>[6]ORÇAMENTO!R178</f>
        <v>LAVATÓRIO PEQUENO RAVENA/IZY COR BRANCO GELO, COM COLUNA SUSPENSA CÓDIGO L915 DECA OU EQUIVALENTE (BASEADA NA COMPOSIÇÃO 86942 - REF 04-2023)</v>
      </c>
      <c r="E155" s="16" t="str">
        <f>[6]ORÇAMENTO!S178</f>
        <v>UN</v>
      </c>
      <c r="F155" s="17">
        <f>[6]ORÇAMENTO!T178</f>
        <v>3</v>
      </c>
      <c r="G155" s="17">
        <f>[6]ORÇAMENTO!U178</f>
        <v>369.68</v>
      </c>
      <c r="H155" s="17">
        <f>[6]ORÇAMENTO!W178</f>
        <v>457.33</v>
      </c>
      <c r="I155" s="95">
        <f>[6]ORÇAMENTO!X178</f>
        <v>1371.99</v>
      </c>
    </row>
    <row r="156" spans="1:11" ht="36">
      <c r="A156" s="94" t="s">
        <v>230</v>
      </c>
      <c r="B156" s="105" t="str">
        <f>[6]ORÇAMENTO!P179</f>
        <v>SINAPI</v>
      </c>
      <c r="C156" s="105">
        <f>[6]ORÇAMENTO!Q179</f>
        <v>86919</v>
      </c>
      <c r="D156" s="106" t="str">
        <f>[6]ORÇAMENTO!R179</f>
        <v>TANQUE DE LOUÇA BRANCA COM COLUNA, 30L OU EQUIVALENTE, INCLUSO SIFÃO FLEXÍVEL EM PVC, VÁLVULA METÁLICA E TORNEIRA DE METAL CROMADO PADRÃO MÉDIO - FORNECIMENTO E INSTALAÇÃO. AF_01/2020</v>
      </c>
      <c r="E156" s="16" t="str">
        <f>[6]ORÇAMENTO!S179</f>
        <v>UN</v>
      </c>
      <c r="F156" s="17">
        <f>[6]ORÇAMENTO!T179</f>
        <v>5</v>
      </c>
      <c r="G156" s="17">
        <f>[6]ORÇAMENTO!U179</f>
        <v>1077.8599999999999</v>
      </c>
      <c r="H156" s="17">
        <f>[6]ORÇAMENTO!W179</f>
        <v>1333.42</v>
      </c>
      <c r="I156" s="95">
        <f>[6]ORÇAMENTO!X179</f>
        <v>6667.1</v>
      </c>
    </row>
    <row r="157" spans="1:11" ht="24">
      <c r="A157" s="94" t="s">
        <v>231</v>
      </c>
      <c r="B157" s="105" t="str">
        <f>[6]ORÇAMENTO!P180</f>
        <v>SINAPI</v>
      </c>
      <c r="C157" s="105" t="str">
        <f>[6]ORÇAMENTO!Q180</f>
        <v>100860</v>
      </c>
      <c r="D157" s="106" t="str">
        <f>[6]ORÇAMENTO!R180</f>
        <v>CHUVEIRO ELÉTRICO COMUM CORPO PLÁSTICO, TIPO DUCHA - FORNECIMENTO E INSTALAÇÃO. AF_01/2020</v>
      </c>
      <c r="E157" s="16" t="str">
        <f>[6]ORÇAMENTO!S180</f>
        <v>UN</v>
      </c>
      <c r="F157" s="17">
        <f>[6]ORÇAMENTO!T180</f>
        <v>10</v>
      </c>
      <c r="G157" s="17">
        <f>[6]ORÇAMENTO!U180</f>
        <v>106.27</v>
      </c>
      <c r="H157" s="17">
        <f>[6]ORÇAMENTO!W180</f>
        <v>131.47</v>
      </c>
      <c r="I157" s="95">
        <f>[6]ORÇAMENTO!X180</f>
        <v>1314.7</v>
      </c>
    </row>
    <row r="158" spans="1:11">
      <c r="A158" s="94" t="s">
        <v>232</v>
      </c>
      <c r="B158" s="105" t="str">
        <f>[6]ORÇAMENTO!P181</f>
        <v>SINAPI-I</v>
      </c>
      <c r="C158" s="105">
        <f>[6]ORÇAMENTO!Q181</f>
        <v>377</v>
      </c>
      <c r="D158" s="106" t="str">
        <f>[6]ORÇAMENTO!R181</f>
        <v>ASSENTO SANITARIO DE PLASTICO, TIPO CONVENCIONAL</v>
      </c>
      <c r="E158" s="16" t="str">
        <f>[6]ORÇAMENTO!S181</f>
        <v>UN</v>
      </c>
      <c r="F158" s="17">
        <f>[6]ORÇAMENTO!T181</f>
        <v>2</v>
      </c>
      <c r="G158" s="17">
        <f>[6]ORÇAMENTO!U181</f>
        <v>37.69</v>
      </c>
      <c r="H158" s="17">
        <f>[6]ORÇAMENTO!W181</f>
        <v>46.63</v>
      </c>
      <c r="I158" s="95">
        <f>[6]ORÇAMENTO!X181</f>
        <v>93.26</v>
      </c>
    </row>
    <row r="159" spans="1:11">
      <c r="A159" s="94" t="s">
        <v>233</v>
      </c>
      <c r="B159" s="105" t="str">
        <f>[6]ORÇAMENTO!P182</f>
        <v>SINAPI-I</v>
      </c>
      <c r="C159" s="105">
        <f>[6]ORÇAMENTO!Q182</f>
        <v>377</v>
      </c>
      <c r="D159" s="106" t="str">
        <f>[6]ORÇAMENTO!R182</f>
        <v>ASSENTO SANITARIO DE PLASTICO, TIPO CONVENCIONAL</v>
      </c>
      <c r="E159" s="16" t="str">
        <f>[6]ORÇAMENTO!S182</f>
        <v>UN</v>
      </c>
      <c r="F159" s="17">
        <f>[6]ORÇAMENTO!T182</f>
        <v>2</v>
      </c>
      <c r="G159" s="17">
        <f>[6]ORÇAMENTO!U182</f>
        <v>37.69</v>
      </c>
      <c r="H159" s="17">
        <f>[6]ORÇAMENTO!W182</f>
        <v>46.63</v>
      </c>
      <c r="I159" s="95">
        <f>[6]ORÇAMENTO!X182</f>
        <v>93.26</v>
      </c>
    </row>
    <row r="160" spans="1:11">
      <c r="A160" s="94" t="s">
        <v>234</v>
      </c>
      <c r="B160" s="105" t="str">
        <f>[6]ORÇAMENTO!P183</f>
        <v>SINAPI-I</v>
      </c>
      <c r="C160" s="105">
        <f>[6]ORÇAMENTO!Q183</f>
        <v>11703</v>
      </c>
      <c r="D160" s="106" t="str">
        <f>[6]ORÇAMENTO!R183</f>
        <v>PAPELEIRA DE PAREDE EM METAL CROMADO SEM TAMPA</v>
      </c>
      <c r="E160" s="16" t="str">
        <f>[6]ORÇAMENTO!S183</f>
        <v>UN</v>
      </c>
      <c r="F160" s="17">
        <f>[6]ORÇAMENTO!T183</f>
        <v>14</v>
      </c>
      <c r="G160" s="17">
        <f>[6]ORÇAMENTO!U183</f>
        <v>79.91</v>
      </c>
      <c r="H160" s="17">
        <f>[6]ORÇAMENTO!W183</f>
        <v>98.86</v>
      </c>
      <c r="I160" s="95">
        <f>[6]ORÇAMENTO!X183</f>
        <v>1384.04</v>
      </c>
    </row>
    <row r="161" spans="1:9">
      <c r="A161" s="94" t="s">
        <v>235</v>
      </c>
      <c r="B161" s="105" t="str">
        <f>[6]ORÇAMENTO!P184</f>
        <v>SINAPI-I</v>
      </c>
      <c r="C161" s="105">
        <f>[6]ORÇAMENTO!Q184</f>
        <v>1370</v>
      </c>
      <c r="D161" s="106" t="str">
        <f>[6]ORÇAMENTO!R184</f>
        <v>DUCHA HIGIENICA PLASTICA COM REGISTRO METALICO 1/2"</v>
      </c>
      <c r="E161" s="16" t="str">
        <f>[6]ORÇAMENTO!S184</f>
        <v>UN</v>
      </c>
      <c r="F161" s="17">
        <f>[6]ORÇAMENTO!T184</f>
        <v>3</v>
      </c>
      <c r="G161" s="17">
        <f>[6]ORÇAMENTO!U184</f>
        <v>122.42</v>
      </c>
      <c r="H161" s="17">
        <f>[6]ORÇAMENTO!W184</f>
        <v>151.44999999999999</v>
      </c>
      <c r="I161" s="95">
        <f>[6]ORÇAMENTO!X184</f>
        <v>454.35</v>
      </c>
    </row>
    <row r="162" spans="1:9" ht="24">
      <c r="A162" s="94" t="s">
        <v>236</v>
      </c>
      <c r="B162" s="105" t="str">
        <f>[6]ORÇAMENTO!P185</f>
        <v>SINAPI-I</v>
      </c>
      <c r="C162" s="105">
        <f>[6]ORÇAMENTO!Q185</f>
        <v>11777</v>
      </c>
      <c r="D162" s="106" t="str">
        <f>[6]ORÇAMENTO!R185</f>
        <v>TORNEIRA ELETRICA DE PAREDE, PLASTICA, BICA ALTA, PARA COZINHA, 5500 W (110/220 V)</v>
      </c>
      <c r="E162" s="16" t="str">
        <f>[6]ORÇAMENTO!S185</f>
        <v>UN</v>
      </c>
      <c r="F162" s="17">
        <f>[6]ORÇAMENTO!T185</f>
        <v>2</v>
      </c>
      <c r="G162" s="17">
        <f>[6]ORÇAMENTO!U185</f>
        <v>194.94</v>
      </c>
      <c r="H162" s="17">
        <f>[6]ORÇAMENTO!W185</f>
        <v>241.16</v>
      </c>
      <c r="I162" s="95">
        <f>[6]ORÇAMENTO!X185</f>
        <v>482.32</v>
      </c>
    </row>
    <row r="163" spans="1:9" ht="24">
      <c r="A163" s="94" t="s">
        <v>237</v>
      </c>
      <c r="B163" s="105" t="str">
        <f>[6]ORÇAMENTO!P186</f>
        <v>SINAPI-I</v>
      </c>
      <c r="C163" s="105">
        <f>[6]ORÇAMENTO!Q186</f>
        <v>11777</v>
      </c>
      <c r="D163" s="106" t="str">
        <f>[6]ORÇAMENTO!R186</f>
        <v>TORNEIRA ELETRICA DE PAREDE, PLASTICA, BICA ALTA, PARA COZINHA, 5500 W (110/220 V)</v>
      </c>
      <c r="E163" s="16" t="str">
        <f>[6]ORÇAMENTO!S186</f>
        <v>UN</v>
      </c>
      <c r="F163" s="17">
        <f>[6]ORÇAMENTO!T186</f>
        <v>2</v>
      </c>
      <c r="G163" s="17">
        <f>[6]ORÇAMENTO!U186</f>
        <v>194.94</v>
      </c>
      <c r="H163" s="17">
        <f>[6]ORÇAMENTO!W186</f>
        <v>241.16</v>
      </c>
      <c r="I163" s="95">
        <f>[6]ORÇAMENTO!X186</f>
        <v>482.32</v>
      </c>
    </row>
    <row r="164" spans="1:9" ht="24">
      <c r="A164" s="94" t="s">
        <v>238</v>
      </c>
      <c r="B164" s="105" t="str">
        <f>[6]ORÇAMENTO!P187</f>
        <v>SINAPI-I</v>
      </c>
      <c r="C164" s="105">
        <f>[6]ORÇAMENTO!Q187</f>
        <v>36791</v>
      </c>
      <c r="D164" s="106" t="str">
        <f>[6]ORÇAMENTO!R187</f>
        <v>TORNEIRA METALICA CROMADA DE MESA PARA LAVATORIO, BICA ALTA, COM AREJADOR</v>
      </c>
      <c r="E164" s="16" t="str">
        <f>[6]ORÇAMENTO!S187</f>
        <v>UN</v>
      </c>
      <c r="F164" s="17">
        <f>[6]ORÇAMENTO!T187</f>
        <v>10</v>
      </c>
      <c r="G164" s="17">
        <f>[6]ORÇAMENTO!U187</f>
        <v>251.18</v>
      </c>
      <c r="H164" s="17">
        <f>[6]ORÇAMENTO!W187</f>
        <v>310.73</v>
      </c>
      <c r="I164" s="95">
        <f>[6]ORÇAMENTO!X187</f>
        <v>3107.3</v>
      </c>
    </row>
    <row r="165" spans="1:9" ht="24">
      <c r="A165" s="94" t="s">
        <v>239</v>
      </c>
      <c r="B165" s="105" t="str">
        <f>[6]ORÇAMENTO!P188</f>
        <v>SINAPI</v>
      </c>
      <c r="C165" s="105">
        <f>[6]ORÇAMENTO!Q188</f>
        <v>86909</v>
      </c>
      <c r="D165" s="106" t="str">
        <f>[6]ORÇAMENTO!R188</f>
        <v>TORNEIRA CROMADA TUBO MÓVEL, DE MESA, 1/2" OU 3/4", PARA PIA DE COZINHA, PADRÃO ALTO - FORNECIMENTO E INSTALAÇÃO. AF_01/2020</v>
      </c>
      <c r="E165" s="16" t="str">
        <f>[6]ORÇAMENTO!S188</f>
        <v>UN</v>
      </c>
      <c r="F165" s="17">
        <f>[6]ORÇAMENTO!T188</f>
        <v>12</v>
      </c>
      <c r="G165" s="17">
        <f>[6]ORÇAMENTO!U188</f>
        <v>229.4</v>
      </c>
      <c r="H165" s="17">
        <f>[6]ORÇAMENTO!W188</f>
        <v>283.79000000000002</v>
      </c>
      <c r="I165" s="95">
        <f>[6]ORÇAMENTO!X188</f>
        <v>3405.48</v>
      </c>
    </row>
    <row r="166" spans="1:9" ht="24">
      <c r="A166" s="94" t="s">
        <v>240</v>
      </c>
      <c r="B166" s="105" t="str">
        <f>[6]ORÇAMENTO!P189</f>
        <v>SINAPI</v>
      </c>
      <c r="C166" s="105">
        <f>[6]ORÇAMENTO!Q189</f>
        <v>86916</v>
      </c>
      <c r="D166" s="106" t="str">
        <f>[6]ORÇAMENTO!R189</f>
        <v>TORNEIRA PLÁSTICA 3/4" PARA TANQUE - FORNECIMENTO E INSTALAÇÃO. AF_01/2020</v>
      </c>
      <c r="E166" s="16" t="str">
        <f>[6]ORÇAMENTO!S189</f>
        <v>UN</v>
      </c>
      <c r="F166" s="17">
        <f>[6]ORÇAMENTO!T189</f>
        <v>11</v>
      </c>
      <c r="G166" s="17">
        <f>[6]ORÇAMENTO!U189</f>
        <v>26.19</v>
      </c>
      <c r="H166" s="17">
        <f>[6]ORÇAMENTO!W189</f>
        <v>32.4</v>
      </c>
      <c r="I166" s="95">
        <f>[6]ORÇAMENTO!X189</f>
        <v>356.4</v>
      </c>
    </row>
    <row r="167" spans="1:9" ht="24">
      <c r="A167" s="94" t="s">
        <v>241</v>
      </c>
      <c r="B167" s="105" t="str">
        <f>[6]ORÇAMENTO!P190</f>
        <v>SINAPI</v>
      </c>
      <c r="C167" s="105">
        <f>[6]ORÇAMENTO!Q190</f>
        <v>86906</v>
      </c>
      <c r="D167" s="106" t="str">
        <f>[6]ORÇAMENTO!R190</f>
        <v>TORNEIRA CROMADA DE MESA, 1/2" OU 3/4", PARA LAVATÓRIO, PADRÃO POPULAR - FORNECIMENTO E INSTALAÇÃO. AF_01/2020</v>
      </c>
      <c r="E167" s="16" t="str">
        <f>[6]ORÇAMENTO!S190</f>
        <v>UN</v>
      </c>
      <c r="F167" s="17">
        <f>[6]ORÇAMENTO!T190</f>
        <v>19</v>
      </c>
      <c r="G167" s="17">
        <f>[6]ORÇAMENTO!U190</f>
        <v>132.09</v>
      </c>
      <c r="H167" s="17">
        <f>[6]ORÇAMENTO!W190</f>
        <v>163.41</v>
      </c>
      <c r="I167" s="95">
        <f>[6]ORÇAMENTO!X190</f>
        <v>3104.79</v>
      </c>
    </row>
    <row r="168" spans="1:9" ht="24">
      <c r="A168" s="94" t="s">
        <v>242</v>
      </c>
      <c r="B168" s="105" t="str">
        <f>[6]ORÇAMENTO!P191</f>
        <v>SINAPI-I</v>
      </c>
      <c r="C168" s="105">
        <f>[6]ORÇAMENTO!Q191</f>
        <v>11758</v>
      </c>
      <c r="D168" s="106" t="str">
        <f>[6]ORÇAMENTO!R191</f>
        <v>SABONETEIRA PLASTICA TIPO DISPENSER PARA SABONETE LIQUIDO COM RESERVATORIO 800 A 1500 ML</v>
      </c>
      <c r="E168" s="16" t="str">
        <f>[6]ORÇAMENTO!S191</f>
        <v>UN</v>
      </c>
      <c r="F168" s="17">
        <f>[6]ORÇAMENTO!T191</f>
        <v>17</v>
      </c>
      <c r="G168" s="17">
        <f>[6]ORÇAMENTO!U191</f>
        <v>44.98</v>
      </c>
      <c r="H168" s="17">
        <f>[6]ORÇAMENTO!W191</f>
        <v>55.64</v>
      </c>
      <c r="I168" s="95">
        <f>[6]ORÇAMENTO!X191</f>
        <v>945.88</v>
      </c>
    </row>
    <row r="169" spans="1:9">
      <c r="A169" s="94" t="s">
        <v>243</v>
      </c>
      <c r="B169" s="105" t="str">
        <f>[6]ORÇAMENTO!P192</f>
        <v>SINAPI-I</v>
      </c>
      <c r="C169" s="105" t="str">
        <f>[6]ORÇAMENTO!Q192</f>
        <v>21102</v>
      </c>
      <c r="D169" s="106" t="str">
        <f>[6]ORÇAMENTO!R192</f>
        <v>PORTA TOALHA BANHO EM METAL CROMADO, TIPO BARRA</v>
      </c>
      <c r="E169" s="16" t="str">
        <f>[6]ORÇAMENTO!S192</f>
        <v>UN</v>
      </c>
      <c r="F169" s="17">
        <f>[6]ORÇAMENTO!T192</f>
        <v>13</v>
      </c>
      <c r="G169" s="17">
        <f>[6]ORÇAMENTO!U192</f>
        <v>95.07</v>
      </c>
      <c r="H169" s="17">
        <f>[6]ORÇAMENTO!W192</f>
        <v>117.61</v>
      </c>
      <c r="I169" s="95">
        <f>[6]ORÇAMENTO!X192</f>
        <v>1528.93</v>
      </c>
    </row>
    <row r="170" spans="1:9" ht="24">
      <c r="A170" s="94" t="s">
        <v>244</v>
      </c>
      <c r="B170" s="105" t="str">
        <f>[6]ORÇAMENTO!P193</f>
        <v>SINAPI-I</v>
      </c>
      <c r="C170" s="105">
        <f>[6]ORÇAMENTO!Q193</f>
        <v>36204</v>
      </c>
      <c r="D170" s="106" t="str">
        <f>[6]ORÇAMENTO!R193</f>
        <v>BARRA DE APOIO RETA, EM ACO INOX POLIDO, COMPRIMENTO 60CM, DIAMETRO MINIMO 3 CM</v>
      </c>
      <c r="E170" s="16" t="str">
        <f>[6]ORÇAMENTO!S193</f>
        <v>UN</v>
      </c>
      <c r="F170" s="17">
        <f>[6]ORÇAMENTO!T193</f>
        <v>6</v>
      </c>
      <c r="G170" s="17">
        <f>[6]ORÇAMENTO!U193</f>
        <v>269.77</v>
      </c>
      <c r="H170" s="17">
        <f>[6]ORÇAMENTO!W193</f>
        <v>333.73</v>
      </c>
      <c r="I170" s="95">
        <f>[6]ORÇAMENTO!X193</f>
        <v>2002.38</v>
      </c>
    </row>
    <row r="171" spans="1:9" ht="24">
      <c r="A171" s="94" t="s">
        <v>245</v>
      </c>
      <c r="B171" s="105" t="str">
        <f>[6]ORÇAMENTO!P194</f>
        <v>SINAPI</v>
      </c>
      <c r="C171" s="105" t="str">
        <f>[6]ORÇAMENTO!Q194</f>
        <v>100865</v>
      </c>
      <c r="D171" s="106" t="str">
        <f>[6]ORÇAMENTO!R194</f>
        <v>BARRA DE APOIO LATERAL ARTICULADA, COM TRAVA, EM ACO INOX POLIDO, FIXADA NA PAREDE - FORNECIMENTO E INSTALAÇÃO. AF_01/2020</v>
      </c>
      <c r="E171" s="16" t="str">
        <f>[6]ORÇAMENTO!S194</f>
        <v>UN</v>
      </c>
      <c r="F171" s="17">
        <f>[6]ORÇAMENTO!T194</f>
        <v>3</v>
      </c>
      <c r="G171" s="17">
        <f>[6]ORÇAMENTO!U194</f>
        <v>845.48</v>
      </c>
      <c r="H171" s="17">
        <f>[6]ORÇAMENTO!W194</f>
        <v>1045.94</v>
      </c>
      <c r="I171" s="95">
        <f>[6]ORÇAMENTO!X194</f>
        <v>3137.82</v>
      </c>
    </row>
    <row r="172" spans="1:9" ht="24">
      <c r="A172" s="94" t="s">
        <v>246</v>
      </c>
      <c r="B172" s="105" t="str">
        <f>[6]ORÇAMENTO!P195</f>
        <v>SINAPI</v>
      </c>
      <c r="C172" s="105" t="str">
        <f>[6]ORÇAMENTO!Q195</f>
        <v>100863</v>
      </c>
      <c r="D172" s="106" t="str">
        <f>[6]ORÇAMENTO!R195</f>
        <v>BARRA DE APOIO EM "L", EM ACO INOX POLIDO 70 X 70 CM, FIXADA NA PAREDE - FORNECIMENTO E INSTALACAO. AF_01/2020</v>
      </c>
      <c r="E172" s="16" t="str">
        <f>[6]ORÇAMENTO!S195</f>
        <v>UN</v>
      </c>
      <c r="F172" s="17">
        <f>[6]ORÇAMENTO!T195</f>
        <v>1</v>
      </c>
      <c r="G172" s="17">
        <f>[6]ORÇAMENTO!U195</f>
        <v>803.16</v>
      </c>
      <c r="H172" s="17">
        <f>[6]ORÇAMENTO!W195</f>
        <v>993.59</v>
      </c>
      <c r="I172" s="95">
        <f>[6]ORÇAMENTO!X195</f>
        <v>993.59</v>
      </c>
    </row>
    <row r="173" spans="1:9">
      <c r="A173" s="94" t="s">
        <v>247</v>
      </c>
      <c r="B173" s="105" t="str">
        <f>[6]ORÇAMENTO!P196</f>
        <v>SINAPI-I</v>
      </c>
      <c r="C173" s="105">
        <f>[6]ORÇAMENTO!Q196</f>
        <v>37399</v>
      </c>
      <c r="D173" s="106" t="str">
        <f>[6]ORÇAMENTO!R196</f>
        <v>CABIDE/GANCHO DE BANHEIRO SIMPLES EM METAL CROMADO</v>
      </c>
      <c r="E173" s="16" t="str">
        <f>[6]ORÇAMENTO!S196</f>
        <v>UN</v>
      </c>
      <c r="F173" s="17">
        <f>[6]ORÇAMENTO!T196</f>
        <v>10</v>
      </c>
      <c r="G173" s="17">
        <f>[6]ORÇAMENTO!U196</f>
        <v>52.92</v>
      </c>
      <c r="H173" s="17">
        <f>[6]ORÇAMENTO!W196</f>
        <v>65.47</v>
      </c>
      <c r="I173" s="95">
        <f>[6]ORÇAMENTO!X196</f>
        <v>654.70000000000005</v>
      </c>
    </row>
    <row r="174" spans="1:9">
      <c r="A174" s="94" t="s">
        <v>248</v>
      </c>
      <c r="B174" s="105" t="str">
        <f>[6]ORÇAMENTO!P197</f>
        <v>SINAPI-I</v>
      </c>
      <c r="C174" s="105">
        <f>[6]ORÇAMENTO!Q197</f>
        <v>37399</v>
      </c>
      <c r="D174" s="106" t="str">
        <f>[6]ORÇAMENTO!R197</f>
        <v>CABIDE/GANCHO DE BANHEIRO SIMPLES EM METAL CROMADO</v>
      </c>
      <c r="E174" s="16" t="str">
        <f>[6]ORÇAMENTO!S197</f>
        <v>UN</v>
      </c>
      <c r="F174" s="17">
        <f>[6]ORÇAMENTO!T197</f>
        <v>1</v>
      </c>
      <c r="G174" s="17">
        <f>[6]ORÇAMENTO!U197</f>
        <v>52.92</v>
      </c>
      <c r="H174" s="17">
        <f>[6]ORÇAMENTO!W197</f>
        <v>65.47</v>
      </c>
      <c r="I174" s="95">
        <f>[6]ORÇAMENTO!X197</f>
        <v>65.47</v>
      </c>
    </row>
    <row r="175" spans="1:9">
      <c r="A175" s="94" t="s">
        <v>249</v>
      </c>
      <c r="B175" s="105" t="str">
        <f>[6]ORÇAMENTO!P198</f>
        <v>SINAPI-I</v>
      </c>
      <c r="C175" s="105">
        <f>[6]ORÇAMENTO!Q198</f>
        <v>37399</v>
      </c>
      <c r="D175" s="106" t="str">
        <f>[6]ORÇAMENTO!R198</f>
        <v>CABIDE/GANCHO DE BANHEIRO SIMPLES EM METAL CROMADO</v>
      </c>
      <c r="E175" s="16" t="str">
        <f>[6]ORÇAMENTO!S198</f>
        <v>UN</v>
      </c>
      <c r="F175" s="17">
        <f>[6]ORÇAMENTO!T198</f>
        <v>94</v>
      </c>
      <c r="G175" s="17">
        <f>[6]ORÇAMENTO!U198</f>
        <v>52.92</v>
      </c>
      <c r="H175" s="17">
        <f>[6]ORÇAMENTO!W198</f>
        <v>65.47</v>
      </c>
      <c r="I175" s="95">
        <f>[6]ORÇAMENTO!X198</f>
        <v>6154.18</v>
      </c>
    </row>
    <row r="176" spans="1:9" ht="24">
      <c r="A176" s="94" t="s">
        <v>250</v>
      </c>
      <c r="B176" s="105" t="str">
        <f>[6]ORÇAMENTO!P199</f>
        <v>SINAPI-I</v>
      </c>
      <c r="C176" s="105">
        <f>[6]ORÇAMENTO!Q199</f>
        <v>36204</v>
      </c>
      <c r="D176" s="106" t="str">
        <f>[6]ORÇAMENTO!R199</f>
        <v>BARRA DE APOIO RETA, EM ACO INOX POLIDO, COMPRIMENTO 60CM, DIAMETRO MINIMO 3 CM</v>
      </c>
      <c r="E176" s="16" t="str">
        <f>[6]ORÇAMENTO!S199</f>
        <v>UN</v>
      </c>
      <c r="F176" s="17">
        <f>[6]ORÇAMENTO!T199</f>
        <v>9.9</v>
      </c>
      <c r="G176" s="17">
        <f>[6]ORÇAMENTO!U199</f>
        <v>269.77</v>
      </c>
      <c r="H176" s="17">
        <f>[6]ORÇAMENTO!W199</f>
        <v>333.73</v>
      </c>
      <c r="I176" s="95">
        <f>[6]ORÇAMENTO!X199</f>
        <v>3303.93</v>
      </c>
    </row>
    <row r="177" spans="1:11" s="116" customFormat="1">
      <c r="A177" s="117">
        <v>11</v>
      </c>
      <c r="B177" s="118"/>
      <c r="C177" s="118"/>
      <c r="D177" s="119" t="str">
        <f>[6]ORÇAMENTO!R200</f>
        <v>INSTALAÇÃO DE GÁS COMBUSTÍVEL</v>
      </c>
      <c r="E177" s="120"/>
      <c r="F177" s="121"/>
      <c r="G177" s="121"/>
      <c r="H177" s="121"/>
      <c r="I177" s="122">
        <f>[6]ORÇAMENTO!X200</f>
        <v>6935.93</v>
      </c>
      <c r="J177" s="115"/>
      <c r="K177" s="115"/>
    </row>
    <row r="178" spans="1:11">
      <c r="A178" s="94" t="s">
        <v>192</v>
      </c>
      <c r="B178" s="105" t="str">
        <f>[6]ORÇAMENTO!P201</f>
        <v>Composição</v>
      </c>
      <c r="C178" s="105" t="str">
        <f>[6]ORÇAMENTO!Q201</f>
        <v>031</v>
      </c>
      <c r="D178" s="106" t="str">
        <f>[6]ORÇAMENTO!R201</f>
        <v>ABRIGO PARA CENTRAL DE GLP, EM CONCRETO 1,80X1,05X2,05</v>
      </c>
      <c r="E178" s="16" t="str">
        <f>[6]ORÇAMENTO!S201</f>
        <v xml:space="preserve">UN    </v>
      </c>
      <c r="F178" s="17">
        <f>[6]ORÇAMENTO!T201</f>
        <v>0.78</v>
      </c>
      <c r="G178" s="17">
        <f>[6]ORÇAMENTO!U201</f>
        <v>3105.95</v>
      </c>
      <c r="H178" s="17">
        <f>[6]ORÇAMENTO!W201</f>
        <v>3842.37</v>
      </c>
      <c r="I178" s="95">
        <f>[6]ORÇAMENTO!X201</f>
        <v>2997.05</v>
      </c>
    </row>
    <row r="179" spans="1:11">
      <c r="A179" s="94" t="s">
        <v>251</v>
      </c>
      <c r="B179" s="105" t="str">
        <f>[6]ORÇAMENTO!P202</f>
        <v>Composição</v>
      </c>
      <c r="C179" s="105" t="str">
        <f>[6]ORÇAMENTO!Q202</f>
        <v>032</v>
      </c>
      <c r="D179" s="106" t="str">
        <f>[6]ORÇAMENTO!R202</f>
        <v>TELA METÁLICA PARA VENTILAÇÃO COM REQUADRO EM ALUMÍNIO</v>
      </c>
      <c r="E179" s="16" t="str">
        <f>[6]ORÇAMENTO!S202</f>
        <v>M²</v>
      </c>
      <c r="F179" s="17">
        <f>[6]ORÇAMENTO!T202</f>
        <v>0.32</v>
      </c>
      <c r="G179" s="17">
        <f>[6]ORÇAMENTO!U202</f>
        <v>187.86</v>
      </c>
      <c r="H179" s="17">
        <f>[6]ORÇAMENTO!W202</f>
        <v>232.4</v>
      </c>
      <c r="I179" s="95">
        <f>[6]ORÇAMENTO!X202</f>
        <v>74.37</v>
      </c>
    </row>
    <row r="180" spans="1:11" ht="36">
      <c r="A180" s="94" t="s">
        <v>252</v>
      </c>
      <c r="B180" s="105" t="str">
        <f>[6]ORÇAMENTO!P203</f>
        <v>SINAPI</v>
      </c>
      <c r="C180" s="105" t="str">
        <f>[6]ORÇAMENTO!Q203</f>
        <v>92690</v>
      </c>
      <c r="D180" s="106" t="str">
        <f>[6]ORÇAMENTO!R203</f>
        <v>TUBO DE AÇO PRETO SEM COSTURA, CLASSE MÉDIA, CONEXÃO SOLDADA, DN 20 (3/4"), INSTALADO EM RAMAIS E SUB-RAMAIS DE GÁS - FORNECIMENTO E INSTALAÇÃO. AF_10/2020</v>
      </c>
      <c r="E180" s="16" t="str">
        <f>[6]ORÇAMENTO!S203</f>
        <v>M</v>
      </c>
      <c r="F180" s="17">
        <f>[6]ORÇAMENTO!T203</f>
        <v>22</v>
      </c>
      <c r="G180" s="17">
        <f>[6]ORÇAMENTO!U203</f>
        <v>70.569999999999993</v>
      </c>
      <c r="H180" s="17">
        <f>[6]ORÇAMENTO!W203</f>
        <v>87.3</v>
      </c>
      <c r="I180" s="95">
        <f>[6]ORÇAMENTO!X203</f>
        <v>1920.6</v>
      </c>
    </row>
    <row r="181" spans="1:11">
      <c r="A181" s="94" t="s">
        <v>253</v>
      </c>
      <c r="B181" s="105" t="str">
        <f>[6]ORÇAMENTO!P204</f>
        <v>Composição</v>
      </c>
      <c r="C181" s="105" t="str">
        <f>[6]ORÇAMENTO!Q204</f>
        <v>033</v>
      </c>
      <c r="D181" s="106" t="str">
        <f>[6]ORÇAMENTO!R204</f>
        <v>ENVELOPAMENTO DE CONCRETO - 3CM</v>
      </c>
      <c r="E181" s="16" t="str">
        <f>[6]ORÇAMENTO!S204</f>
        <v>M</v>
      </c>
      <c r="F181" s="17">
        <f>[6]ORÇAMENTO!T204</f>
        <v>22</v>
      </c>
      <c r="G181" s="17">
        <f>[6]ORÇAMENTO!U204</f>
        <v>18.829999999999998</v>
      </c>
      <c r="H181" s="17">
        <f>[6]ORÇAMENTO!W204</f>
        <v>23.29</v>
      </c>
      <c r="I181" s="95">
        <f>[6]ORÇAMENTO!X204</f>
        <v>512.38</v>
      </c>
    </row>
    <row r="182" spans="1:11" ht="36">
      <c r="A182" s="94" t="s">
        <v>254</v>
      </c>
      <c r="B182" s="105" t="str">
        <f>[6]ORÇAMENTO!P205</f>
        <v>SINAPI-I</v>
      </c>
      <c r="C182" s="105">
        <f>[6]ORÇAMENTO!Q205</f>
        <v>39429</v>
      </c>
      <c r="D182" s="106" t="str">
        <f>[6]ORÇAMENTO!R205</f>
        <v>PERFIL TABICA ABERTA, PERFURADA, FORMATO Z, EM ACO GALVANIZADO NATURAL, LARGURA APROXIMADA 40 MM, PARA ESTRUTURA FORRO DRYWALL</v>
      </c>
      <c r="E182" s="16" t="str">
        <f>[6]ORÇAMENTO!S205</f>
        <v>M</v>
      </c>
      <c r="F182" s="17">
        <f>[6]ORÇAMENTO!T205</f>
        <v>2</v>
      </c>
      <c r="G182" s="17">
        <f>[6]ORÇAMENTO!U205</f>
        <v>6.69</v>
      </c>
      <c r="H182" s="17">
        <f>[6]ORÇAMENTO!W205</f>
        <v>8.2799999999999994</v>
      </c>
      <c r="I182" s="95">
        <f>[6]ORÇAMENTO!X205</f>
        <v>16.559999999999999</v>
      </c>
    </row>
    <row r="183" spans="1:11">
      <c r="A183" s="94" t="s">
        <v>255</v>
      </c>
      <c r="B183" s="105" t="str">
        <f>[6]ORÇAMENTO!P206</f>
        <v>SINAPI-I</v>
      </c>
      <c r="C183" s="105">
        <f>[6]ORÇAMENTO!Q206</f>
        <v>11749</v>
      </c>
      <c r="D183" s="106" t="str">
        <f>[6]ORÇAMENTO!R206</f>
        <v>VALVULA DE ESFERA BRUTA EM BRONZE, BITOLA 3/4"</v>
      </c>
      <c r="E183" s="16" t="str">
        <f>[6]ORÇAMENTO!S206</f>
        <v>UN</v>
      </c>
      <c r="F183" s="17">
        <f>[6]ORÇAMENTO!T206</f>
        <v>4</v>
      </c>
      <c r="G183" s="17">
        <f>[6]ORÇAMENTO!U206</f>
        <v>72.849999999999994</v>
      </c>
      <c r="H183" s="17">
        <f>[6]ORÇAMENTO!W206</f>
        <v>90.12</v>
      </c>
      <c r="I183" s="95">
        <f>[6]ORÇAMENTO!X206</f>
        <v>360.48</v>
      </c>
    </row>
    <row r="184" spans="1:11" ht="24">
      <c r="A184" s="94" t="s">
        <v>256</v>
      </c>
      <c r="B184" s="105" t="str">
        <f>[6]ORÇAMENTO!P207</f>
        <v>SINAPI-I</v>
      </c>
      <c r="C184" s="105">
        <f>[6]ORÇAMENTO!Q207</f>
        <v>9885</v>
      </c>
      <c r="D184" s="106" t="str">
        <f>[6]ORÇAMENTO!R207</f>
        <v>UNIAO DE FERRO GALVANIZADO, COM ROSCA BSP, COM ASSENTO PLANO, DE 3/4"</v>
      </c>
      <c r="E184" s="16" t="str">
        <f>[6]ORÇAMENTO!S207</f>
        <v>UN</v>
      </c>
      <c r="F184" s="17">
        <f>[6]ORÇAMENTO!T207</f>
        <v>3</v>
      </c>
      <c r="G184" s="17">
        <f>[6]ORÇAMENTO!U207</f>
        <v>32.590000000000003</v>
      </c>
      <c r="H184" s="17">
        <f>[6]ORÇAMENTO!W207</f>
        <v>40.32</v>
      </c>
      <c r="I184" s="95">
        <f>[6]ORÇAMENTO!X207</f>
        <v>120.96</v>
      </c>
    </row>
    <row r="185" spans="1:11">
      <c r="A185" s="94" t="s">
        <v>257</v>
      </c>
      <c r="B185" s="105" t="str">
        <f>[6]ORÇAMENTO!P208</f>
        <v>SINAPI-I</v>
      </c>
      <c r="C185" s="105" t="str">
        <f>[6]ORÇAMENTO!Q208</f>
        <v>4178</v>
      </c>
      <c r="D185" s="106" t="str">
        <f>[6]ORÇAMENTO!R208</f>
        <v>NIPLE DE FERRO GALVANIZADO, COM ROSCA BSP, DE 3/4"</v>
      </c>
      <c r="E185" s="16" t="str">
        <f>[6]ORÇAMENTO!S208</f>
        <v>UN</v>
      </c>
      <c r="F185" s="17">
        <f>[6]ORÇAMENTO!T208</f>
        <v>6</v>
      </c>
      <c r="G185" s="17">
        <f>[6]ORÇAMENTO!U208</f>
        <v>7.94</v>
      </c>
      <c r="H185" s="17">
        <f>[6]ORÇAMENTO!W208</f>
        <v>9.82</v>
      </c>
      <c r="I185" s="95">
        <f>[6]ORÇAMENTO!X208</f>
        <v>58.92</v>
      </c>
    </row>
    <row r="186" spans="1:11">
      <c r="A186" s="94" t="s">
        <v>258</v>
      </c>
      <c r="B186" s="105" t="str">
        <f>[6]ORÇAMENTO!P209</f>
        <v>SINAPI-I</v>
      </c>
      <c r="C186" s="105" t="str">
        <f>[6]ORÇAMENTO!Q209</f>
        <v>4177</v>
      </c>
      <c r="D186" s="106" t="str">
        <f>[6]ORÇAMENTO!R209</f>
        <v>NIPLE DE FERRO GALVANIZADO, COM ROSCA BSP, DE 1/2"</v>
      </c>
      <c r="E186" s="16" t="str">
        <f>[6]ORÇAMENTO!S209</f>
        <v>UN</v>
      </c>
      <c r="F186" s="17">
        <f>[6]ORÇAMENTO!T209</f>
        <v>4</v>
      </c>
      <c r="G186" s="17">
        <f>[6]ORÇAMENTO!U209</f>
        <v>5.72</v>
      </c>
      <c r="H186" s="17">
        <f>[6]ORÇAMENTO!W209</f>
        <v>7.08</v>
      </c>
      <c r="I186" s="95">
        <f>[6]ORÇAMENTO!X209</f>
        <v>28.32</v>
      </c>
    </row>
    <row r="187" spans="1:11">
      <c r="A187" s="94" t="s">
        <v>259</v>
      </c>
      <c r="B187" s="105" t="str">
        <f>[6]ORÇAMENTO!P210</f>
        <v>Composição</v>
      </c>
      <c r="C187" s="105" t="str">
        <f>[6]ORÇAMENTO!Q210</f>
        <v>034</v>
      </c>
      <c r="D187" s="106" t="str">
        <f>[6]ORÇAMENTO!R210</f>
        <v>NIPLE DE FERRO GALVANIZADO, COM ROSCA BSP, DE 1/4"</v>
      </c>
      <c r="E187" s="16" t="str">
        <f>[6]ORÇAMENTO!S210</f>
        <v xml:space="preserve">UN    </v>
      </c>
      <c r="F187" s="17">
        <f>[6]ORÇAMENTO!T210</f>
        <v>4</v>
      </c>
      <c r="G187" s="17">
        <f>[6]ORÇAMENTO!U210</f>
        <v>14.38</v>
      </c>
      <c r="H187" s="17">
        <f>[6]ORÇAMENTO!W210</f>
        <v>17.79</v>
      </c>
      <c r="I187" s="95">
        <f>[6]ORÇAMENTO!X210</f>
        <v>71.16</v>
      </c>
    </row>
    <row r="188" spans="1:11">
      <c r="A188" s="94" t="s">
        <v>260</v>
      </c>
      <c r="B188" s="105" t="str">
        <f>[6]ORÇAMENTO!P211</f>
        <v>SINAPI-I</v>
      </c>
      <c r="C188" s="105">
        <f>[6]ORÇAMENTO!Q211</f>
        <v>6302</v>
      </c>
      <c r="D188" s="106" t="str">
        <f>[6]ORÇAMENTO!R211</f>
        <v>TE DE REDUCAO DE FERRO GALVANIZADO, COM ROSCA BSP, DE 3/4" X 1/2"</v>
      </c>
      <c r="E188" s="16" t="str">
        <f>[6]ORÇAMENTO!S211</f>
        <v>UN</v>
      </c>
      <c r="F188" s="17">
        <f>[6]ORÇAMENTO!T211</f>
        <v>1</v>
      </c>
      <c r="G188" s="17">
        <f>[6]ORÇAMENTO!U211</f>
        <v>15.78</v>
      </c>
      <c r="H188" s="17">
        <f>[6]ORÇAMENTO!W211</f>
        <v>19.52</v>
      </c>
      <c r="I188" s="95">
        <f>[6]ORÇAMENTO!X211</f>
        <v>19.52</v>
      </c>
    </row>
    <row r="189" spans="1:11" ht="24">
      <c r="A189" s="94" t="s">
        <v>261</v>
      </c>
      <c r="B189" s="105" t="str">
        <f>[6]ORÇAMENTO!P212</f>
        <v>SINAPI-I</v>
      </c>
      <c r="C189" s="105">
        <f>[6]ORÇAMENTO!Q212</f>
        <v>4186</v>
      </c>
      <c r="D189" s="106" t="str">
        <f>[6]ORÇAMENTO!R212</f>
        <v>NIPLE DE REDUCAO DE FERRO GALVANIZADO, COM ROSCA BSP, DE 1/2" X 1/4"</v>
      </c>
      <c r="E189" s="16" t="str">
        <f>[6]ORÇAMENTO!S212</f>
        <v>UN</v>
      </c>
      <c r="F189" s="17">
        <f>[6]ORÇAMENTO!T212</f>
        <v>1</v>
      </c>
      <c r="G189" s="17">
        <f>[6]ORÇAMENTO!U212</f>
        <v>6.98</v>
      </c>
      <c r="H189" s="17">
        <f>[6]ORÇAMENTO!W212</f>
        <v>8.6300000000000008</v>
      </c>
      <c r="I189" s="95">
        <f>[6]ORÇAMENTO!X212</f>
        <v>8.6300000000000008</v>
      </c>
    </row>
    <row r="190" spans="1:11" ht="36">
      <c r="A190" s="94" t="s">
        <v>262</v>
      </c>
      <c r="B190" s="105" t="str">
        <f>[6]ORÇAMENTO!P213</f>
        <v>SINAPI</v>
      </c>
      <c r="C190" s="105">
        <f>[6]ORÇAMENTO!Q213</f>
        <v>92953</v>
      </c>
      <c r="D190" s="106" t="str">
        <f>[6]ORÇAMENTO!R213</f>
        <v>LUVA DE REDUÇÃO, EM FERRO GALVANIZADO, 3/4" X 1/2", CONEXÃO ROSQUEADA, INSTALADO EM RAMAIS E SUB-RAMAIS DE GÁS - FORNECIMENTO E INSTALAÇÃO. AF_10/2020</v>
      </c>
      <c r="E190" s="16" t="str">
        <f>[6]ORÇAMENTO!S213</f>
        <v>UN</v>
      </c>
      <c r="F190" s="17">
        <f>[6]ORÇAMENTO!T213</f>
        <v>2</v>
      </c>
      <c r="G190" s="17">
        <f>[6]ORÇAMENTO!U213</f>
        <v>26.02</v>
      </c>
      <c r="H190" s="17">
        <f>[6]ORÇAMENTO!W213</f>
        <v>32.19</v>
      </c>
      <c r="I190" s="95">
        <f>[6]ORÇAMENTO!X213</f>
        <v>64.38</v>
      </c>
    </row>
    <row r="191" spans="1:11" ht="36">
      <c r="A191" s="94" t="s">
        <v>263</v>
      </c>
      <c r="B191" s="105" t="str">
        <f>[6]ORÇAMENTO!P214</f>
        <v>SINAPI</v>
      </c>
      <c r="C191" s="105">
        <f>[6]ORÇAMENTO!Q214</f>
        <v>92953</v>
      </c>
      <c r="D191" s="106" t="str">
        <f>[6]ORÇAMENTO!R214</f>
        <v>LUVA DE REDUÇÃO, EM FERRO GALVANIZADO, 3/4" X 1/2", CONEXÃO ROSQUEADA, INSTALADO EM RAMAIS E SUB-RAMAIS DE GÁS - FORNECIMENTO E INSTALAÇÃO. AF_10/2020</v>
      </c>
      <c r="E191" s="16" t="str">
        <f>[6]ORÇAMENTO!S214</f>
        <v>UN</v>
      </c>
      <c r="F191" s="17">
        <f>[6]ORÇAMENTO!T214</f>
        <v>2</v>
      </c>
      <c r="G191" s="17">
        <f>[6]ORÇAMENTO!U214</f>
        <v>26.02</v>
      </c>
      <c r="H191" s="17">
        <f>[6]ORÇAMENTO!W214</f>
        <v>32.19</v>
      </c>
      <c r="I191" s="95">
        <f>[6]ORÇAMENTO!X214</f>
        <v>64.38</v>
      </c>
    </row>
    <row r="192" spans="1:11" ht="36">
      <c r="A192" s="94" t="s">
        <v>264</v>
      </c>
      <c r="B192" s="105" t="str">
        <f>[6]ORÇAMENTO!P215</f>
        <v>SINAPI</v>
      </c>
      <c r="C192" s="105">
        <f>[6]ORÇAMENTO!Q215</f>
        <v>92699</v>
      </c>
      <c r="D192" s="106" t="str">
        <f>[6]ORÇAMENTO!R215</f>
        <v>JOELHO 90 GRAUS, EM FERRO GALVANIZADO, CONEXÃO ROSQUEADA, DN 15 (1/2"), INSTALADO EM RAMAIS E SUB-RAMAIS DE GÁS - FORNECIMENTO E INSTALAÇÃO. AF_10/2020</v>
      </c>
      <c r="E192" s="16" t="str">
        <f>[6]ORÇAMENTO!S215</f>
        <v>UN</v>
      </c>
      <c r="F192" s="17">
        <f>[6]ORÇAMENTO!T215</f>
        <v>2</v>
      </c>
      <c r="G192" s="17">
        <f>[6]ORÇAMENTO!U215</f>
        <v>21.18</v>
      </c>
      <c r="H192" s="17">
        <f>[6]ORÇAMENTO!W215</f>
        <v>26.2</v>
      </c>
      <c r="I192" s="95">
        <f>[6]ORÇAMENTO!X215</f>
        <v>52.4</v>
      </c>
    </row>
    <row r="193" spans="1:11">
      <c r="A193" s="94" t="s">
        <v>265</v>
      </c>
      <c r="B193" s="105" t="str">
        <f>[6]ORÇAMENTO!P216</f>
        <v>SINAPI-I</v>
      </c>
      <c r="C193" s="105">
        <f>[6]ORÇAMENTO!Q216</f>
        <v>11756</v>
      </c>
      <c r="D193" s="106" t="str">
        <f>[6]ORÇAMENTO!R216</f>
        <v>REGISTRO OU REGULADOR DE GAS COZINHA, VAZAO DE 2 KG/H, 2,8 KPA</v>
      </c>
      <c r="E193" s="16" t="str">
        <f>[6]ORÇAMENTO!S216</f>
        <v>UN</v>
      </c>
      <c r="F193" s="17">
        <f>[6]ORÇAMENTO!T216</f>
        <v>1</v>
      </c>
      <c r="G193" s="17">
        <f>[6]ORÇAMENTO!U216</f>
        <v>51.75</v>
      </c>
      <c r="H193" s="17">
        <f>[6]ORÇAMENTO!W216</f>
        <v>64.02</v>
      </c>
      <c r="I193" s="95">
        <f>[6]ORÇAMENTO!X216</f>
        <v>64.02</v>
      </c>
    </row>
    <row r="194" spans="1:11" ht="24">
      <c r="A194" s="94" t="s">
        <v>266</v>
      </c>
      <c r="B194" s="105" t="str">
        <f>[6]ORÇAMENTO!P217</f>
        <v>SINAPI-I</v>
      </c>
      <c r="C194" s="105">
        <f>[6]ORÇAMENTO!Q217</f>
        <v>12898</v>
      </c>
      <c r="D194" s="106" t="str">
        <f>[6]ORÇAMENTO!R217</f>
        <v>MANOMETRO COM CAIXA EM ACO PINTADO, ESCALA *10* KGF/CM2 (*10* BAR), DIAMETRO NOMINAL DE 100 MM, CONEXAO DE 1/2"</v>
      </c>
      <c r="E194" s="16" t="str">
        <f>[6]ORÇAMENTO!S217</f>
        <v>UN</v>
      </c>
      <c r="F194" s="17">
        <f>[6]ORÇAMENTO!T217</f>
        <v>1</v>
      </c>
      <c r="G194" s="17">
        <f>[6]ORÇAMENTO!U217</f>
        <v>233.24</v>
      </c>
      <c r="H194" s="17">
        <f>[6]ORÇAMENTO!W217</f>
        <v>288.54000000000002</v>
      </c>
      <c r="I194" s="95">
        <f>[6]ORÇAMENTO!X217</f>
        <v>288.54000000000002</v>
      </c>
    </row>
    <row r="195" spans="1:11">
      <c r="A195" s="94" t="s">
        <v>267</v>
      </c>
      <c r="B195" s="105" t="str">
        <f>[6]ORÇAMENTO!P218</f>
        <v>SINAPI-I</v>
      </c>
      <c r="C195" s="105">
        <f>[6]ORÇAMENTO!Q218</f>
        <v>37457</v>
      </c>
      <c r="D195" s="106" t="str">
        <f>[6]ORÇAMENTO!R218</f>
        <v>MANGUEIRA CRISTAL, LISA, PVC TRANSPARENTE, 3/8" X 1,5 MM</v>
      </c>
      <c r="E195" s="16" t="str">
        <f>[6]ORÇAMENTO!S218</f>
        <v>M</v>
      </c>
      <c r="F195" s="17">
        <f>[6]ORÇAMENTO!T218</f>
        <v>2</v>
      </c>
      <c r="G195" s="17">
        <f>[6]ORÇAMENTO!U218</f>
        <v>2.86</v>
      </c>
      <c r="H195" s="17">
        <f>[6]ORÇAMENTO!W218</f>
        <v>3.54</v>
      </c>
      <c r="I195" s="95">
        <f>[6]ORÇAMENTO!X218</f>
        <v>7.08</v>
      </c>
    </row>
    <row r="196" spans="1:11">
      <c r="A196" s="94" t="s">
        <v>268</v>
      </c>
      <c r="B196" s="105" t="str">
        <f>[6]ORÇAMENTO!P219</f>
        <v>SINAPI-I</v>
      </c>
      <c r="C196" s="105">
        <f>[6]ORÇAMENTO!Q219</f>
        <v>11756</v>
      </c>
      <c r="D196" s="106" t="str">
        <f>[6]ORÇAMENTO!R219</f>
        <v>REGISTRO OU REGULADOR DE GAS COZINHA, VAZAO DE 2 KG/H, 2,8 KPA</v>
      </c>
      <c r="E196" s="16" t="str">
        <f>[6]ORÇAMENTO!S219</f>
        <v>UN</v>
      </c>
      <c r="F196" s="17">
        <f>[6]ORÇAMENTO!T219</f>
        <v>2</v>
      </c>
      <c r="G196" s="17">
        <f>[6]ORÇAMENTO!U219</f>
        <v>51.75</v>
      </c>
      <c r="H196" s="17">
        <f>[6]ORÇAMENTO!W219</f>
        <v>64.02</v>
      </c>
      <c r="I196" s="95">
        <f>[6]ORÇAMENTO!X219</f>
        <v>128.04</v>
      </c>
    </row>
    <row r="197" spans="1:11">
      <c r="A197" s="94" t="s">
        <v>269</v>
      </c>
      <c r="B197" s="105" t="str">
        <f>[6]ORÇAMENTO!P220</f>
        <v>Composição</v>
      </c>
      <c r="C197" s="105" t="str">
        <f>[6]ORÇAMENTO!Q220</f>
        <v>035</v>
      </c>
      <c r="D197" s="106" t="str">
        <f>[6]ORÇAMENTO!R220</f>
        <v>PLACA DE SINALIZAÇÃO EM PCV - PROIBIDO FUMAR</v>
      </c>
      <c r="E197" s="16" t="str">
        <f>[6]ORÇAMENTO!S220</f>
        <v xml:space="preserve">UN    </v>
      </c>
      <c r="F197" s="17">
        <f>[6]ORÇAMENTO!T220</f>
        <v>1</v>
      </c>
      <c r="G197" s="17">
        <f>[6]ORÇAMENTO!U220</f>
        <v>24.88</v>
      </c>
      <c r="H197" s="17">
        <f>[6]ORÇAMENTO!W220</f>
        <v>30.78</v>
      </c>
      <c r="I197" s="95">
        <f>[6]ORÇAMENTO!X220</f>
        <v>30.78</v>
      </c>
    </row>
    <row r="198" spans="1:11">
      <c r="A198" s="94" t="s">
        <v>270</v>
      </c>
      <c r="B198" s="105" t="str">
        <f>[6]ORÇAMENTO!P221</f>
        <v>Composição</v>
      </c>
      <c r="C198" s="105" t="str">
        <f>[6]ORÇAMENTO!Q221</f>
        <v>036</v>
      </c>
      <c r="D198" s="106" t="str">
        <f>[6]ORÇAMENTO!R221</f>
        <v>PLACA DE SINALIZAÇÃO EM PCV - PERIGO INFLAMÁVEL</v>
      </c>
      <c r="E198" s="16" t="str">
        <f>[6]ORÇAMENTO!S221</f>
        <v xml:space="preserve">UN    </v>
      </c>
      <c r="F198" s="17">
        <f>[6]ORÇAMENTO!T221</f>
        <v>1</v>
      </c>
      <c r="G198" s="17">
        <f>[6]ORÇAMENTO!U221</f>
        <v>38.28</v>
      </c>
      <c r="H198" s="17">
        <f>[6]ORÇAMENTO!W221</f>
        <v>47.36</v>
      </c>
      <c r="I198" s="95">
        <f>[6]ORÇAMENTO!X221</f>
        <v>47.36</v>
      </c>
    </row>
    <row r="199" spans="1:11" s="116" customFormat="1">
      <c r="A199" s="117">
        <v>12</v>
      </c>
      <c r="B199" s="118"/>
      <c r="C199" s="118"/>
      <c r="D199" s="119" t="str">
        <f>[6]ORÇAMENTO!R222</f>
        <v>SISTEMA DE PROTEÇÃO CONTRA INCÊNDIO</v>
      </c>
      <c r="E199" s="120"/>
      <c r="F199" s="121"/>
      <c r="G199" s="121"/>
      <c r="H199" s="121"/>
      <c r="I199" s="122">
        <f>[6]ORÇAMENTO!X222</f>
        <v>46639.519999999997</v>
      </c>
      <c r="J199" s="115"/>
      <c r="K199" s="115"/>
    </row>
    <row r="200" spans="1:11" ht="24">
      <c r="A200" s="94" t="s">
        <v>193</v>
      </c>
      <c r="B200" s="105" t="str">
        <f>[6]ORÇAMENTO!P223</f>
        <v>SINAPI</v>
      </c>
      <c r="C200" s="105" t="str">
        <f>[6]ORÇAMENTO!Q223</f>
        <v>101909</v>
      </c>
      <c r="D200" s="106" t="str">
        <f>[6]ORÇAMENTO!R223</f>
        <v>EXTINTOR DE INCÊNDIO PORTÁTIL COM CARGA DE PQS DE 6 KG, CLASSE BC - FORNECIMENTO E INSTALAÇÃO. AF_10/2020_PE</v>
      </c>
      <c r="E200" s="16" t="str">
        <f>[6]ORÇAMENTO!S223</f>
        <v>UN</v>
      </c>
      <c r="F200" s="17">
        <f>[6]ORÇAMENTO!T223</f>
        <v>5</v>
      </c>
      <c r="G200" s="17">
        <f>[6]ORÇAMENTO!U223</f>
        <v>261.25</v>
      </c>
      <c r="H200" s="17">
        <f>[6]ORÇAMENTO!W223</f>
        <v>323.19</v>
      </c>
      <c r="I200" s="95">
        <f>[6]ORÇAMENTO!X223</f>
        <v>1615.95</v>
      </c>
    </row>
    <row r="201" spans="1:11" ht="24">
      <c r="A201" s="94" t="s">
        <v>271</v>
      </c>
      <c r="B201" s="105" t="str">
        <f>[6]ORÇAMENTO!P224</f>
        <v>SINAPI</v>
      </c>
      <c r="C201" s="105" t="str">
        <f>[6]ORÇAMENTO!Q224</f>
        <v>101907</v>
      </c>
      <c r="D201" s="106" t="str">
        <f>[6]ORÇAMENTO!R224</f>
        <v>EXTINTOR DE INCÊNDIO PORTÁTIL COM CARGA DE CO2 DE 6 KG, CLASSE BC - FORNECIMENTO E INSTALAÇÃO. AF_10/2020_PE</v>
      </c>
      <c r="E201" s="16" t="str">
        <f>[6]ORÇAMENTO!S224</f>
        <v>UN</v>
      </c>
      <c r="F201" s="17">
        <f>[6]ORÇAMENTO!T224</f>
        <v>1</v>
      </c>
      <c r="G201" s="17">
        <f>[6]ORÇAMENTO!U224</f>
        <v>732.15</v>
      </c>
      <c r="H201" s="17">
        <f>[6]ORÇAMENTO!W224</f>
        <v>905.74</v>
      </c>
      <c r="I201" s="95">
        <f>[6]ORÇAMENTO!X224</f>
        <v>905.74</v>
      </c>
    </row>
    <row r="202" spans="1:11">
      <c r="A202" s="94" t="s">
        <v>272</v>
      </c>
      <c r="B202" s="105" t="str">
        <f>[6]ORÇAMENTO!P225</f>
        <v>SINAPI-I</v>
      </c>
      <c r="C202" s="105">
        <f>[6]ORÇAMENTO!Q225</f>
        <v>12402</v>
      </c>
      <c r="D202" s="106" t="str">
        <f>[6]ORÇAMENTO!R225</f>
        <v>COTOVELO 45 GRAUS DE FERRO GALVANIZADO, COM ROSCA BSP, DE 2 1/2"</v>
      </c>
      <c r="E202" s="16" t="str">
        <f>[6]ORÇAMENTO!S225</f>
        <v>UN</v>
      </c>
      <c r="F202" s="17">
        <f>[6]ORÇAMENTO!T225</f>
        <v>2</v>
      </c>
      <c r="G202" s="17">
        <f>[6]ORÇAMENTO!U225</f>
        <v>102.22</v>
      </c>
      <c r="H202" s="17">
        <f>[6]ORÇAMENTO!W225</f>
        <v>126.46</v>
      </c>
      <c r="I202" s="95">
        <f>[6]ORÇAMENTO!X225</f>
        <v>252.92</v>
      </c>
    </row>
    <row r="203" spans="1:11" ht="24">
      <c r="A203" s="94" t="s">
        <v>273</v>
      </c>
      <c r="B203" s="105" t="str">
        <f>[6]ORÇAMENTO!P226</f>
        <v>SINAPI-I</v>
      </c>
      <c r="C203" s="105">
        <f>[6]ORÇAMENTO!Q226</f>
        <v>3453</v>
      </c>
      <c r="D203" s="106" t="str">
        <f>[6]ORÇAMENTO!R226</f>
        <v>COTOVELO 90 GRAUS DE FERRO GALVANIZADO, COM ROSCA BSP MACHO/FEMEA, DE 2 1/2"</v>
      </c>
      <c r="E203" s="16" t="str">
        <f>[6]ORÇAMENTO!S226</f>
        <v>UN</v>
      </c>
      <c r="F203" s="17">
        <f>[6]ORÇAMENTO!T226</f>
        <v>10</v>
      </c>
      <c r="G203" s="17">
        <f>[6]ORÇAMENTO!U226</f>
        <v>120.01</v>
      </c>
      <c r="H203" s="17">
        <f>[6]ORÇAMENTO!W226</f>
        <v>148.46</v>
      </c>
      <c r="I203" s="95">
        <f>[6]ORÇAMENTO!X226</f>
        <v>1484.6</v>
      </c>
    </row>
    <row r="204" spans="1:11" ht="24">
      <c r="A204" s="94" t="s">
        <v>274</v>
      </c>
      <c r="B204" s="105" t="str">
        <f>[6]ORÇAMENTO!P227</f>
        <v>SINAPI-I</v>
      </c>
      <c r="C204" s="105">
        <f>[6]ORÇAMENTO!Q227</f>
        <v>1791</v>
      </c>
      <c r="D204" s="106" t="str">
        <f>[6]ORÇAMENTO!R227</f>
        <v>CURVA 90 GRAUS DE FERRO GALVANIZADO, COM ROSCA BSP FEMEA, DE 2 1/2"</v>
      </c>
      <c r="E204" s="16" t="str">
        <f>[6]ORÇAMENTO!S227</f>
        <v>UN</v>
      </c>
      <c r="F204" s="17">
        <f>[6]ORÇAMENTO!T227</f>
        <v>1</v>
      </c>
      <c r="G204" s="17">
        <f>[6]ORÇAMENTO!U227</f>
        <v>232.43</v>
      </c>
      <c r="H204" s="17">
        <f>[6]ORÇAMENTO!W227</f>
        <v>287.54000000000002</v>
      </c>
      <c r="I204" s="95">
        <f>[6]ORÇAMENTO!X227</f>
        <v>287.54000000000002</v>
      </c>
    </row>
    <row r="205" spans="1:11">
      <c r="A205" s="94" t="s">
        <v>275</v>
      </c>
      <c r="B205" s="105" t="str">
        <f>[6]ORÇAMENTO!P228</f>
        <v>SINAPI-I</v>
      </c>
      <c r="C205" s="105">
        <f>[6]ORÇAMENTO!Q228</f>
        <v>4208</v>
      </c>
      <c r="D205" s="106" t="str">
        <f>[6]ORÇAMENTO!R228</f>
        <v>NIPLE DE FERRO GALVANIZADO, COM ROSCA BSP, DE 2 1/2"</v>
      </c>
      <c r="E205" s="16" t="str">
        <f>[6]ORÇAMENTO!S228</f>
        <v>UN</v>
      </c>
      <c r="F205" s="17">
        <f>[6]ORÇAMENTO!T228</f>
        <v>11</v>
      </c>
      <c r="G205" s="17">
        <f>[6]ORÇAMENTO!U228</f>
        <v>54.52</v>
      </c>
      <c r="H205" s="17">
        <f>[6]ORÇAMENTO!W228</f>
        <v>67.45</v>
      </c>
      <c r="I205" s="95">
        <f>[6]ORÇAMENTO!X228</f>
        <v>741.95</v>
      </c>
    </row>
    <row r="206" spans="1:11" ht="24">
      <c r="A206" s="94" t="s">
        <v>276</v>
      </c>
      <c r="B206" s="105" t="str">
        <f>[6]ORÇAMENTO!P229</f>
        <v>SINAPI</v>
      </c>
      <c r="C206" s="105" t="str">
        <f>[6]ORÇAMENTO!Q229</f>
        <v>92357</v>
      </c>
      <c r="D206" s="106" t="str">
        <f>[6]ORÇAMENTO!R229</f>
        <v>TÊ, EM FERRO GALVANIZADO, DN 65 (2 1/2"), CONEXÃO ROSQUEADA, INSTALADO EM PRUMADAS - FORNECIMENTO E INSTALAÇÃO. AF_10/2020</v>
      </c>
      <c r="E206" s="16" t="str">
        <f>[6]ORÇAMENTO!S229</f>
        <v>UN</v>
      </c>
      <c r="F206" s="17">
        <f>[6]ORÇAMENTO!T229</f>
        <v>2</v>
      </c>
      <c r="G206" s="17">
        <f>[6]ORÇAMENTO!U229</f>
        <v>204.5</v>
      </c>
      <c r="H206" s="17">
        <f>[6]ORÇAMENTO!W229</f>
        <v>252.99</v>
      </c>
      <c r="I206" s="95">
        <f>[6]ORÇAMENTO!X229</f>
        <v>505.98</v>
      </c>
    </row>
    <row r="207" spans="1:11" ht="36">
      <c r="A207" s="94" t="s">
        <v>277</v>
      </c>
      <c r="B207" s="105" t="str">
        <f>[6]ORÇAMENTO!P230</f>
        <v>SINAPI</v>
      </c>
      <c r="C207" s="105" t="str">
        <f>[6]ORÇAMENTO!Q230</f>
        <v>94463</v>
      </c>
      <c r="D207" s="106" t="str">
        <f>[6]ORÇAMENTO!R230</f>
        <v>TUBO DE AÇO GALVANIZADO COM COSTURA, CLASSE MÉDIA, DN 65 MM (2 1/2"), CONEXÃO ROSQUEADA, INSTALADO EM RESERVAÇÃO PREDIAL DE ÁGUA - FORNECIMENTO E INSTALAÇÃO. AF_04/2024</v>
      </c>
      <c r="E207" s="16" t="str">
        <f>[6]ORÇAMENTO!S230</f>
        <v>M</v>
      </c>
      <c r="F207" s="17">
        <f>[6]ORÇAMENTO!T230</f>
        <v>61.56</v>
      </c>
      <c r="G207" s="17">
        <f>[6]ORÇAMENTO!U230</f>
        <v>118.18</v>
      </c>
      <c r="H207" s="17">
        <f>[6]ORÇAMENTO!W230</f>
        <v>146.19999999999999</v>
      </c>
      <c r="I207" s="95">
        <f>[6]ORÇAMENTO!X230</f>
        <v>9000.07</v>
      </c>
    </row>
    <row r="208" spans="1:11" ht="24">
      <c r="A208" s="94" t="s">
        <v>278</v>
      </c>
      <c r="B208" s="105" t="str">
        <f>[6]ORÇAMENTO!P231</f>
        <v>SINAPI-I</v>
      </c>
      <c r="C208" s="105">
        <f>[6]ORÇAMENTO!Q231</f>
        <v>10899</v>
      </c>
      <c r="D208" s="106" t="str">
        <f>[6]ORÇAMENTO!R231</f>
        <v>ADAPTADOR EM LATAO, ENGATE RAPIDO 2 1/2" X ROSCA INTERNA 5 FIOS 2 1/2", PARA INSTALACAO PREDIAL DE COMBATE A INCENDIO</v>
      </c>
      <c r="E208" s="16" t="str">
        <f>[6]ORÇAMENTO!S231</f>
        <v>UN</v>
      </c>
      <c r="F208" s="17">
        <f>[6]ORÇAMENTO!T231</f>
        <v>3</v>
      </c>
      <c r="G208" s="17">
        <f>[6]ORÇAMENTO!U231</f>
        <v>72.28</v>
      </c>
      <c r="H208" s="17">
        <f>[6]ORÇAMENTO!W231</f>
        <v>89.42</v>
      </c>
      <c r="I208" s="95">
        <f>[6]ORÇAMENTO!X231</f>
        <v>268.26</v>
      </c>
    </row>
    <row r="209" spans="1:11" ht="48">
      <c r="A209" s="94" t="s">
        <v>279</v>
      </c>
      <c r="B209" s="105" t="str">
        <f>[6]ORÇAMENTO!P232</f>
        <v>SINAPI</v>
      </c>
      <c r="C209" s="105" t="str">
        <f>[6]ORÇAMENTO!Q232</f>
        <v>101912</v>
      </c>
      <c r="D209" s="106" t="str">
        <f>[6]ORÇAMENTO!R232</f>
        <v>ABRIGO PARA HIDRANTE, 75X45X17CM, COM REGISTRO GLOBO ANGULAR 45 GRAUS 2 1/2", ADAPTADOR STORZ 2 1/2", MANGUEIRA DE INCÊNDIO 15M 2 1/2" E ESGUICHO EM LATÃO 2 1/2" - FORNECIMENTO E INSTALAÇÃO. AF_10/2020</v>
      </c>
      <c r="E209" s="16" t="str">
        <f>[6]ORÇAMENTO!S232</f>
        <v>UN</v>
      </c>
      <c r="F209" s="17">
        <f>[6]ORÇAMENTO!T232</f>
        <v>2</v>
      </c>
      <c r="G209" s="17">
        <f>[6]ORÇAMENTO!U232</f>
        <v>1857.93</v>
      </c>
      <c r="H209" s="17">
        <f>[6]ORÇAMENTO!W232</f>
        <v>2298.4499999999998</v>
      </c>
      <c r="I209" s="95">
        <f>[6]ORÇAMENTO!X232</f>
        <v>4596.8999999999996</v>
      </c>
    </row>
    <row r="210" spans="1:11" ht="24">
      <c r="A210" s="94" t="s">
        <v>280</v>
      </c>
      <c r="B210" s="105" t="str">
        <f>[6]ORÇAMENTO!P233</f>
        <v>SINAPI-I</v>
      </c>
      <c r="C210" s="105">
        <f>[6]ORÇAMENTO!Q233</f>
        <v>20971</v>
      </c>
      <c r="D210" s="106" t="str">
        <f>[6]ORÇAMENTO!R233</f>
        <v>CHAVE DUPLA PARA CONEXOES TIPO STORZ, ENGATE RAPIDO 1 1/2" X 2 1/2", EM LATAO, PARA INSTALACAO PREDIAL COMBATE A INCENDIO</v>
      </c>
      <c r="E210" s="16" t="str">
        <f>[6]ORÇAMENTO!S233</f>
        <v>UN</v>
      </c>
      <c r="F210" s="17">
        <f>[6]ORÇAMENTO!T233</f>
        <v>2</v>
      </c>
      <c r="G210" s="17">
        <f>[6]ORÇAMENTO!U233</f>
        <v>15.71</v>
      </c>
      <c r="H210" s="17">
        <f>[6]ORÇAMENTO!W233</f>
        <v>19.43</v>
      </c>
      <c r="I210" s="95">
        <f>[6]ORÇAMENTO!X233</f>
        <v>38.86</v>
      </c>
    </row>
    <row r="211" spans="1:11" ht="36">
      <c r="A211" s="94" t="s">
        <v>281</v>
      </c>
      <c r="B211" s="105" t="str">
        <f>[6]ORÇAMENTO!P234</f>
        <v>SINAPI</v>
      </c>
      <c r="C211" s="105">
        <f>[6]ORÇAMENTO!Q234</f>
        <v>92896</v>
      </c>
      <c r="D211" s="106" t="str">
        <f>[6]ORÇAMENTO!R234</f>
        <v>UNIÃO, EM FERRO GALVANIZADO, DN 65 (2 1/2"), CONEXÃO ROSQUEADA, INSTALADO EM REDE DE ALIMENTAÇÃO PARA HIDRANTE - FORNECIMENTO E INSTALAÇÃO. AF_10/2020</v>
      </c>
      <c r="E211" s="16" t="str">
        <f>[6]ORÇAMENTO!S234</f>
        <v>UN</v>
      </c>
      <c r="F211" s="17">
        <f>[6]ORÇAMENTO!T234</f>
        <v>4</v>
      </c>
      <c r="G211" s="17">
        <f>[6]ORÇAMENTO!U234</f>
        <v>211.26</v>
      </c>
      <c r="H211" s="17">
        <f>[6]ORÇAMENTO!W234</f>
        <v>261.35000000000002</v>
      </c>
      <c r="I211" s="95">
        <f>[6]ORÇAMENTO!X234</f>
        <v>1045.4000000000001</v>
      </c>
    </row>
    <row r="212" spans="1:11">
      <c r="A212" s="94" t="s">
        <v>282</v>
      </c>
      <c r="B212" s="105" t="str">
        <f>[6]ORÇAMENTO!P235</f>
        <v>SINAPI-I</v>
      </c>
      <c r="C212" s="105">
        <f>[6]ORÇAMENTO!Q235</f>
        <v>1165</v>
      </c>
      <c r="D212" s="106" t="str">
        <f>[6]ORÇAMENTO!R235</f>
        <v>CAP OU TAMPAO DE FERRO GALVANIZADO, COM ROSCA BSP, DE 1 1/2"</v>
      </c>
      <c r="E212" s="16" t="str">
        <f>[6]ORÇAMENTO!S235</f>
        <v>UN</v>
      </c>
      <c r="F212" s="17">
        <f>[6]ORÇAMENTO!T235</f>
        <v>2</v>
      </c>
      <c r="G212" s="17">
        <f>[6]ORÇAMENTO!U235</f>
        <v>19.440000000000001</v>
      </c>
      <c r="H212" s="17">
        <f>[6]ORÇAMENTO!W235</f>
        <v>24.05</v>
      </c>
      <c r="I212" s="95">
        <f>[6]ORÇAMENTO!X235</f>
        <v>48.1</v>
      </c>
    </row>
    <row r="213" spans="1:11" ht="24">
      <c r="A213" s="94" t="s">
        <v>283</v>
      </c>
      <c r="B213" s="105" t="str">
        <f>[6]ORÇAMENTO!P236</f>
        <v>SINAPI-I</v>
      </c>
      <c r="C213" s="105">
        <f>[6]ORÇAMENTO!Q236</f>
        <v>10905</v>
      </c>
      <c r="D213" s="106" t="str">
        <f>[6]ORÇAMENTO!R236</f>
        <v>TAMPAO COM CORRENTE, EM LATAO, ENGATE RAPIDO 2 1/2", PARA INSTALACAO PREDIAL DE COMBATE A INCENDIO</v>
      </c>
      <c r="E213" s="16" t="str">
        <f>[6]ORÇAMENTO!S236</f>
        <v>UN</v>
      </c>
      <c r="F213" s="17">
        <f>[6]ORÇAMENTO!T236</f>
        <v>1</v>
      </c>
      <c r="G213" s="17">
        <f>[6]ORÇAMENTO!U236</f>
        <v>86.42</v>
      </c>
      <c r="H213" s="17">
        <f>[6]ORÇAMENTO!W236</f>
        <v>106.91</v>
      </c>
      <c r="I213" s="95">
        <f>[6]ORÇAMENTO!X236</f>
        <v>106.91</v>
      </c>
    </row>
    <row r="214" spans="1:11">
      <c r="A214" s="94" t="s">
        <v>284</v>
      </c>
      <c r="B214" s="105" t="str">
        <f>[6]ORÇAMENTO!P237</f>
        <v>SINAPI-I</v>
      </c>
      <c r="C214" s="105">
        <f>[6]ORÇAMENTO!Q237</f>
        <v>6011</v>
      </c>
      <c r="D214" s="106" t="str">
        <f>[6]ORÇAMENTO!R237</f>
        <v>REGISTRO GAVETA BRUTO EM LATAO FORJADO, BITOLA 2 1/2"</v>
      </c>
      <c r="E214" s="16" t="str">
        <f>[6]ORÇAMENTO!S237</f>
        <v>UN</v>
      </c>
      <c r="F214" s="17">
        <f>[6]ORÇAMENTO!T237</f>
        <v>5</v>
      </c>
      <c r="G214" s="17">
        <f>[6]ORÇAMENTO!U237</f>
        <v>348.44</v>
      </c>
      <c r="H214" s="17">
        <f>[6]ORÇAMENTO!W237</f>
        <v>431.06</v>
      </c>
      <c r="I214" s="95">
        <f>[6]ORÇAMENTO!X237</f>
        <v>2155.3000000000002</v>
      </c>
    </row>
    <row r="215" spans="1:11" ht="24">
      <c r="A215" s="94" t="s">
        <v>285</v>
      </c>
      <c r="B215" s="105" t="str">
        <f>[6]ORÇAMENTO!P238</f>
        <v>SINAPI</v>
      </c>
      <c r="C215" s="105" t="str">
        <f>[6]ORÇAMENTO!Q238</f>
        <v>103009</v>
      </c>
      <c r="D215" s="106" t="str">
        <f>[6]ORÇAMENTO!R238</f>
        <v>VÁLVULA DE RETENÇÃO VERTICAL, DE BRONZE, ROSCÁVEL, 2 1/2" - FORNECIMENTO E INSTALAÇÃO. AF_08/2021</v>
      </c>
      <c r="E215" s="16" t="str">
        <f>[6]ORÇAMENTO!S238</f>
        <v>UN</v>
      </c>
      <c r="F215" s="17">
        <f>[6]ORÇAMENTO!T238</f>
        <v>2</v>
      </c>
      <c r="G215" s="17">
        <f>[6]ORÇAMENTO!U238</f>
        <v>395.47</v>
      </c>
      <c r="H215" s="17">
        <f>[6]ORÇAMENTO!W238</f>
        <v>489.24</v>
      </c>
      <c r="I215" s="95">
        <f>[6]ORÇAMENTO!X238</f>
        <v>978.48</v>
      </c>
    </row>
    <row r="216" spans="1:11" ht="24">
      <c r="A216" s="94" t="s">
        <v>286</v>
      </c>
      <c r="B216" s="105" t="str">
        <f>[6]ORÇAMENTO!P239</f>
        <v>SINAPI</v>
      </c>
      <c r="C216" s="105" t="str">
        <f>[6]ORÇAMENTO!Q239</f>
        <v>97599</v>
      </c>
      <c r="D216" s="106" t="str">
        <f>[6]ORÇAMENTO!R239</f>
        <v>LUMINÁRIA DE EMERGÊNCIA, COM 30 LÂMPADAS LED DE 2 W, SEM REATOR - FORNECIMENTO E INSTALAÇÃO. AF_09/2024</v>
      </c>
      <c r="E216" s="16" t="str">
        <f>[6]ORÇAMENTO!S239</f>
        <v>UN</v>
      </c>
      <c r="F216" s="17">
        <f>[6]ORÇAMENTO!T239</f>
        <v>20</v>
      </c>
      <c r="G216" s="17">
        <f>[6]ORÇAMENTO!U239</f>
        <v>17.54</v>
      </c>
      <c r="H216" s="17">
        <f>[6]ORÇAMENTO!W239</f>
        <v>21.7</v>
      </c>
      <c r="I216" s="95">
        <f>[6]ORÇAMENTO!X239</f>
        <v>434</v>
      </c>
    </row>
    <row r="217" spans="1:11">
      <c r="A217" s="94" t="s">
        <v>287</v>
      </c>
      <c r="B217" s="105" t="str">
        <f>[6]ORÇAMENTO!P240</f>
        <v>Composição</v>
      </c>
      <c r="C217" s="105" t="str">
        <f>[6]ORÇAMENTO!Q240</f>
        <v>037</v>
      </c>
      <c r="D217" s="106" t="str">
        <f>[6]ORÇAMENTO!R240</f>
        <v>MARCAÇÃO NO PISO - 1 X 1 M PARA EXTINTOR</v>
      </c>
      <c r="E217" s="16" t="str">
        <f>[6]ORÇAMENTO!S240</f>
        <v>M²</v>
      </c>
      <c r="F217" s="17">
        <f>[6]ORÇAMENTO!T240</f>
        <v>6</v>
      </c>
      <c r="G217" s="17">
        <f>[6]ORÇAMENTO!U240</f>
        <v>53</v>
      </c>
      <c r="H217" s="17">
        <f>[6]ORÇAMENTO!W240</f>
        <v>65.569999999999993</v>
      </c>
      <c r="I217" s="95">
        <f>[6]ORÇAMENTO!X240</f>
        <v>393.42</v>
      </c>
    </row>
    <row r="218" spans="1:11">
      <c r="A218" s="94" t="s">
        <v>288</v>
      </c>
      <c r="B218" s="105" t="str">
        <f>[6]ORÇAMENTO!P241</f>
        <v>Composição</v>
      </c>
      <c r="C218" s="105" t="str">
        <f>[6]ORÇAMENTO!Q241</f>
        <v>038</v>
      </c>
      <c r="D218" s="106" t="str">
        <f>[6]ORÇAMENTO!R241</f>
        <v>MARCAÇÃO NO PISO - 1 X 1 M PARA HIDRANTE</v>
      </c>
      <c r="E218" s="16" t="str">
        <f>[6]ORÇAMENTO!S241</f>
        <v>M²</v>
      </c>
      <c r="F218" s="17">
        <f>[6]ORÇAMENTO!T241</f>
        <v>2</v>
      </c>
      <c r="G218" s="17">
        <f>[6]ORÇAMENTO!U241</f>
        <v>53</v>
      </c>
      <c r="H218" s="17">
        <f>[6]ORÇAMENTO!W241</f>
        <v>65.569999999999993</v>
      </c>
      <c r="I218" s="95">
        <f>[6]ORÇAMENTO!X241</f>
        <v>131.13999999999999</v>
      </c>
    </row>
    <row r="219" spans="1:11" ht="36">
      <c r="A219" s="94" t="s">
        <v>289</v>
      </c>
      <c r="B219" s="105" t="str">
        <f>[6]ORÇAMENTO!P242</f>
        <v>SINAPI-I</v>
      </c>
      <c r="C219" s="105">
        <f>[6]ORÇAMENTO!Q242</f>
        <v>730</v>
      </c>
      <c r="D219" s="106" t="str">
        <f>[6]ORÇAMENTO!R242</f>
        <v>MOTOBOMBA AUTOESCORVANTE MOTOR ELETRICO TRIFASICO 7,4HP BOCA DIAMETRO DE SUCCAO X RECLAQUE: 2"X2", HM/ Q = 10 M / 73,5 M3/H A 28 M / 8,2 M3 /H</v>
      </c>
      <c r="E219" s="16" t="str">
        <f>[6]ORÇAMENTO!S242</f>
        <v>UN</v>
      </c>
      <c r="F219" s="17">
        <f>[6]ORÇAMENTO!T242</f>
        <v>2</v>
      </c>
      <c r="G219" s="17">
        <f>[6]ORÇAMENTO!U242</f>
        <v>8501.59</v>
      </c>
      <c r="H219" s="17">
        <f>[6]ORÇAMENTO!W242</f>
        <v>10517.32</v>
      </c>
      <c r="I219" s="95">
        <f>[6]ORÇAMENTO!X242</f>
        <v>21034.639999999999</v>
      </c>
    </row>
    <row r="220" spans="1:11">
      <c r="A220" s="94" t="s">
        <v>290</v>
      </c>
      <c r="B220" s="105" t="str">
        <f>[6]ORÇAMENTO!P243</f>
        <v>Composição</v>
      </c>
      <c r="C220" s="105" t="str">
        <f>[6]ORÇAMENTO!Q243</f>
        <v>039</v>
      </c>
      <c r="D220" s="106" t="str">
        <f>[6]ORÇAMENTO!R243</f>
        <v>PLACA DE SINALIZAÇÃO EM PVC COD 25 (200X200) HIDRANTE DE INCÊNDIO</v>
      </c>
      <c r="E220" s="16" t="str">
        <f>[6]ORÇAMENTO!S243</f>
        <v xml:space="preserve">UN    </v>
      </c>
      <c r="F220" s="17">
        <f>[6]ORÇAMENTO!T243</f>
        <v>2</v>
      </c>
      <c r="G220" s="17">
        <f>[6]ORÇAMENTO!U243</f>
        <v>24.88</v>
      </c>
      <c r="H220" s="17">
        <f>[6]ORÇAMENTO!W243</f>
        <v>30.78</v>
      </c>
      <c r="I220" s="95">
        <f>[6]ORÇAMENTO!X243</f>
        <v>61.56</v>
      </c>
    </row>
    <row r="221" spans="1:11">
      <c r="A221" s="94" t="s">
        <v>291</v>
      </c>
      <c r="B221" s="105" t="str">
        <f>[6]ORÇAMENTO!P244</f>
        <v>Composição</v>
      </c>
      <c r="C221" s="105" t="str">
        <f>[6]ORÇAMENTO!Q244</f>
        <v>040</v>
      </c>
      <c r="D221" s="106" t="str">
        <f>[6]ORÇAMENTO!R244</f>
        <v>PLACA DE SINALIZAÇÃO EM PVC - SAÍDA DE EMERGÊNCIA</v>
      </c>
      <c r="E221" s="16" t="str">
        <f>[6]ORÇAMENTO!S244</f>
        <v xml:space="preserve">UN    </v>
      </c>
      <c r="F221" s="17">
        <f>[6]ORÇAMENTO!T244</f>
        <v>11</v>
      </c>
      <c r="G221" s="17">
        <f>[6]ORÇAMENTO!U244</f>
        <v>22.3</v>
      </c>
      <c r="H221" s="17">
        <f>[6]ORÇAMENTO!W244</f>
        <v>27.59</v>
      </c>
      <c r="I221" s="95">
        <f>[6]ORÇAMENTO!X244</f>
        <v>303.49</v>
      </c>
    </row>
    <row r="222" spans="1:11">
      <c r="A222" s="94" t="s">
        <v>292</v>
      </c>
      <c r="B222" s="105" t="str">
        <f>[6]ORÇAMENTO!P245</f>
        <v>Composição</v>
      </c>
      <c r="C222" s="105" t="str">
        <f>[6]ORÇAMENTO!Q245</f>
        <v>041</v>
      </c>
      <c r="D222" s="106" t="str">
        <f>[6]ORÇAMENTO!R245</f>
        <v>PLACA DE SINALIZAÇÃO EM PVC - MENSANGEM "SAÍDA"</v>
      </c>
      <c r="E222" s="16" t="str">
        <f>[6]ORÇAMENTO!S245</f>
        <v xml:space="preserve">UN    </v>
      </c>
      <c r="F222" s="17">
        <f>[6]ORÇAMENTO!T245</f>
        <v>3</v>
      </c>
      <c r="G222" s="17">
        <f>[6]ORÇAMENTO!U245</f>
        <v>22.3</v>
      </c>
      <c r="H222" s="17">
        <f>[6]ORÇAMENTO!W245</f>
        <v>27.59</v>
      </c>
      <c r="I222" s="95">
        <f>[6]ORÇAMENTO!X245</f>
        <v>82.77</v>
      </c>
    </row>
    <row r="223" spans="1:11">
      <c r="A223" s="94" t="s">
        <v>293</v>
      </c>
      <c r="B223" s="105" t="str">
        <f>[6]ORÇAMENTO!P246</f>
        <v>Composição</v>
      </c>
      <c r="C223" s="105" t="str">
        <f>[6]ORÇAMENTO!Q246</f>
        <v>042</v>
      </c>
      <c r="D223" s="106" t="str">
        <f>[6]ORÇAMENTO!R246</f>
        <v>PLACA DE SINALIZAÇÃO EM PCV (200X200) - EXTINTOR DE INCÊNDIO</v>
      </c>
      <c r="E223" s="16" t="str">
        <f>[6]ORÇAMENTO!S246</f>
        <v xml:space="preserve">UN    </v>
      </c>
      <c r="F223" s="17">
        <f>[6]ORÇAMENTO!T246</f>
        <v>6</v>
      </c>
      <c r="G223" s="17">
        <f>[6]ORÇAMENTO!U246</f>
        <v>22.3</v>
      </c>
      <c r="H223" s="17">
        <f>[6]ORÇAMENTO!W246</f>
        <v>27.59</v>
      </c>
      <c r="I223" s="95">
        <f>[6]ORÇAMENTO!X246</f>
        <v>165.54</v>
      </c>
    </row>
    <row r="224" spans="1:11" s="116" customFormat="1">
      <c r="A224" s="117">
        <v>13</v>
      </c>
      <c r="B224" s="118"/>
      <c r="C224" s="118"/>
      <c r="D224" s="119" t="str">
        <f>[6]ORÇAMENTO!R248</f>
        <v>INSTALAÇÕES ELÉTRICAS - 220V</v>
      </c>
      <c r="E224" s="120"/>
      <c r="F224" s="121"/>
      <c r="G224" s="121"/>
      <c r="H224" s="121"/>
      <c r="I224" s="122">
        <f>[6]ORÇAMENTO!X248</f>
        <v>98850.04</v>
      </c>
      <c r="J224" s="115"/>
      <c r="K224" s="115"/>
    </row>
    <row r="225" spans="1:11" s="116" customFormat="1">
      <c r="A225" s="117" t="s">
        <v>194</v>
      </c>
      <c r="B225" s="118"/>
      <c r="C225" s="118"/>
      <c r="D225" s="119" t="str">
        <f>[6]ORÇAMENTO!R249</f>
        <v>CENTRO DE DISTRIBUIÇÃO</v>
      </c>
      <c r="E225" s="120"/>
      <c r="F225" s="121"/>
      <c r="G225" s="121"/>
      <c r="H225" s="121"/>
      <c r="I225" s="122">
        <f>[6]ORÇAMENTO!X249</f>
        <v>10729.47</v>
      </c>
      <c r="J225" s="115"/>
      <c r="K225" s="115"/>
    </row>
    <row r="226" spans="1:11" ht="36">
      <c r="A226" s="94" t="s">
        <v>294</v>
      </c>
      <c r="B226" s="105" t="str">
        <f>[6]ORÇAMENTO!P250</f>
        <v>SINAPI</v>
      </c>
      <c r="C226" s="105" t="str">
        <f>[6]ORÇAMENTO!Q250</f>
        <v>101883</v>
      </c>
      <c r="D226" s="106" t="str">
        <f>[6]ORÇAMENTO!R250</f>
        <v>QUADRO DE DISTRIBUIÇÃO DE ENERGIA EM CHAPA DE AÇO GALVANIZADO, DE EMBUTIR, COM BARRAMENTO TRIFÁSICO, PARA 18 DISJUNTORES DIN 100A - FORNECIMENTO E INSTALAÇÃO. AF_07/2025</v>
      </c>
      <c r="E226" s="16" t="str">
        <f>[6]ORÇAMENTO!S250</f>
        <v>UN</v>
      </c>
      <c r="F226" s="17">
        <f>[6]ORÇAMENTO!T250</f>
        <v>3</v>
      </c>
      <c r="G226" s="17">
        <f>[6]ORÇAMENTO!U250</f>
        <v>634.07000000000005</v>
      </c>
      <c r="H226" s="17">
        <f>[6]ORÇAMENTO!W250</f>
        <v>784.41</v>
      </c>
      <c r="I226" s="95">
        <f>[6]ORÇAMENTO!X250</f>
        <v>2353.23</v>
      </c>
    </row>
    <row r="227" spans="1:11" ht="36">
      <c r="A227" s="94" t="s">
        <v>295</v>
      </c>
      <c r="B227" s="105" t="str">
        <f>[6]ORÇAMENTO!P251</f>
        <v>SINAPI</v>
      </c>
      <c r="C227" s="105" t="str">
        <f>[6]ORÇAMENTO!Q251</f>
        <v>101879</v>
      </c>
      <c r="D227" s="106" t="str">
        <f>[6]ORÇAMENTO!R251</f>
        <v>QUADRO DE DISTRIBUIÇÃO DE ENERGIA EM CHAPA DE AÇO GALVANIZADO, DE EMBUTIR, COM BARRAMENTO TRIFÁSICO, PARA 24 DISJUNTORES DIN 100A - FORNECIMENTO E INSTALAÇÃO. AF_07/2025</v>
      </c>
      <c r="E227" s="16" t="str">
        <f>[6]ORÇAMENTO!S251</f>
        <v>UN</v>
      </c>
      <c r="F227" s="17">
        <f>[6]ORÇAMENTO!T251</f>
        <v>1</v>
      </c>
      <c r="G227" s="17">
        <f>[6]ORÇAMENTO!U251</f>
        <v>661.97</v>
      </c>
      <c r="H227" s="17">
        <f>[6]ORÇAMENTO!W251</f>
        <v>818.92</v>
      </c>
      <c r="I227" s="95">
        <f>[6]ORÇAMENTO!X251</f>
        <v>818.92</v>
      </c>
    </row>
    <row r="228" spans="1:11" ht="36">
      <c r="A228" s="94" t="s">
        <v>296</v>
      </c>
      <c r="B228" s="105" t="str">
        <f>[6]ORÇAMENTO!P252</f>
        <v>SINAPI</v>
      </c>
      <c r="C228" s="105" t="str">
        <f>[6]ORÇAMENTO!Q252</f>
        <v>101880</v>
      </c>
      <c r="D228" s="106" t="str">
        <f>[6]ORÇAMENTO!R252</f>
        <v>QUADRO DE DISTRIBUIÇÃO DE ENERGIA EM CHAPA DE AÇO GALVANIZADO, DE EMBUTIR, COM BARRAMENTO TRIFÁSICO, PARA 30 DISJUNTORES DIN 150A - FORNECIMENTO E INSTALAÇÃO. AF_07/2025</v>
      </c>
      <c r="E228" s="16" t="str">
        <f>[6]ORÇAMENTO!S252</f>
        <v>UN</v>
      </c>
      <c r="F228" s="17">
        <f>[6]ORÇAMENTO!T252</f>
        <v>2</v>
      </c>
      <c r="G228" s="17">
        <f>[6]ORÇAMENTO!U252</f>
        <v>769.08</v>
      </c>
      <c r="H228" s="17">
        <f>[6]ORÇAMENTO!W252</f>
        <v>951.43</v>
      </c>
      <c r="I228" s="95">
        <f>[6]ORÇAMENTO!X252</f>
        <v>1902.86</v>
      </c>
    </row>
    <row r="229" spans="1:11" ht="36">
      <c r="A229" s="94" t="s">
        <v>297</v>
      </c>
      <c r="B229" s="105" t="str">
        <f>[6]ORÇAMENTO!P253</f>
        <v>SINAPI</v>
      </c>
      <c r="C229" s="105" t="str">
        <f>[6]ORÇAMENTO!Q253</f>
        <v>101881</v>
      </c>
      <c r="D229" s="106" t="str">
        <f>[6]ORÇAMENTO!R253</f>
        <v>QUADRO DE DISTRIBUIÇÃO DE ENERGIA EM CHAPA DE AÇO GALVANIZADO, DE EMBUTIR, COM BARRAMENTO TRIFÁSICO, PARA 40 DISJUNTORES DIN 100A - FORNECIMENTO E INSTALAÇÃO. AF_07/2025</v>
      </c>
      <c r="E229" s="16" t="str">
        <f>[6]ORÇAMENTO!S253</f>
        <v>UN</v>
      </c>
      <c r="F229" s="17">
        <f>[6]ORÇAMENTO!T253</f>
        <v>1</v>
      </c>
      <c r="G229" s="17">
        <f>[6]ORÇAMENTO!U253</f>
        <v>1067.79</v>
      </c>
      <c r="H229" s="17">
        <f>[6]ORÇAMENTO!W253</f>
        <v>1320.96</v>
      </c>
      <c r="I229" s="95">
        <f>[6]ORÇAMENTO!X253</f>
        <v>1320.96</v>
      </c>
    </row>
    <row r="230" spans="1:11" ht="24">
      <c r="A230" s="94" t="s">
        <v>298</v>
      </c>
      <c r="B230" s="105" t="str">
        <f>[6]ORÇAMENTO!P254</f>
        <v>SINAPI</v>
      </c>
      <c r="C230" s="105" t="str">
        <f>[6]ORÇAMENTO!Q254</f>
        <v>97359</v>
      </c>
      <c r="D230" s="106" t="str">
        <f>[6]ORÇAMENTO!R254</f>
        <v>QUADRO DE MEDIÇÃO GERAL DE ENERGIA COM 8 MEDIDORES - FORNECIMENTO E INSTALAÇÃO. AF_07/2025</v>
      </c>
      <c r="E230" s="16" t="str">
        <f>[6]ORÇAMENTO!S254</f>
        <v>UN</v>
      </c>
      <c r="F230" s="17">
        <f>[6]ORÇAMENTO!T254</f>
        <v>1</v>
      </c>
      <c r="G230" s="17">
        <f>[6]ORÇAMENTO!U254</f>
        <v>3502.95</v>
      </c>
      <c r="H230" s="17">
        <f>[6]ORÇAMENTO!W254</f>
        <v>4333.5</v>
      </c>
      <c r="I230" s="95">
        <f>[6]ORÇAMENTO!X254</f>
        <v>4333.5</v>
      </c>
    </row>
    <row r="231" spans="1:11" s="116" customFormat="1">
      <c r="A231" s="117" t="s">
        <v>195</v>
      </c>
      <c r="B231" s="118"/>
      <c r="C231" s="118"/>
      <c r="D231" s="119" t="str">
        <f>[6]ORÇAMENTO!R255</f>
        <v>DISJUNTORES</v>
      </c>
      <c r="E231" s="120"/>
      <c r="F231" s="121"/>
      <c r="G231" s="121"/>
      <c r="H231" s="121"/>
      <c r="I231" s="122">
        <f>[6]ORÇAMENTO!X255</f>
        <v>6883.54</v>
      </c>
      <c r="J231" s="115"/>
      <c r="K231" s="115"/>
    </row>
    <row r="232" spans="1:11" ht="24">
      <c r="A232" s="94" t="s">
        <v>299</v>
      </c>
      <c r="B232" s="105" t="str">
        <f>[6]ORÇAMENTO!P256</f>
        <v>SINAPI</v>
      </c>
      <c r="C232" s="105" t="str">
        <f>[6]ORÇAMENTO!Q256</f>
        <v>93653</v>
      </c>
      <c r="D232" s="106" t="str">
        <f>[6]ORÇAMENTO!R256</f>
        <v>DISJUNTOR MONOPOLAR TIPO DIN, CORRENTE NOMINAL DE 10A - FORNECIMENTO E INSTALAÇÃO. AF_07/2025</v>
      </c>
      <c r="E232" s="16" t="str">
        <f>[6]ORÇAMENTO!S256</f>
        <v>UN</v>
      </c>
      <c r="F232" s="17">
        <f>[6]ORÇAMENTO!T256</f>
        <v>38</v>
      </c>
      <c r="G232" s="17">
        <f>[6]ORÇAMENTO!U256</f>
        <v>11.46</v>
      </c>
      <c r="H232" s="17">
        <f>[6]ORÇAMENTO!W256</f>
        <v>14.18</v>
      </c>
      <c r="I232" s="95">
        <f>[6]ORÇAMENTO!X256</f>
        <v>538.84</v>
      </c>
    </row>
    <row r="233" spans="1:11" ht="24">
      <c r="A233" s="94" t="s">
        <v>299</v>
      </c>
      <c r="B233" s="105" t="str">
        <f>[6]ORÇAMENTO!P257</f>
        <v>SINAPI</v>
      </c>
      <c r="C233" s="105" t="str">
        <f>[6]ORÇAMENTO!Q257</f>
        <v>93655</v>
      </c>
      <c r="D233" s="106" t="str">
        <f>[6]ORÇAMENTO!R257</f>
        <v>DISJUNTOR MONOPOLAR TIPO DIN, CORRENTE NOMINAL DE 20A - FORNECIMENTO E INSTALAÇÃO. AF_07/2025</v>
      </c>
      <c r="E233" s="16" t="str">
        <f>[6]ORÇAMENTO!S257</f>
        <v>UN</v>
      </c>
      <c r="F233" s="17">
        <f>[6]ORÇAMENTO!T257</f>
        <v>26</v>
      </c>
      <c r="G233" s="17">
        <f>[6]ORÇAMENTO!U257</f>
        <v>12.48</v>
      </c>
      <c r="H233" s="17">
        <f>[6]ORÇAMENTO!W257</f>
        <v>15.44</v>
      </c>
      <c r="I233" s="95">
        <f>[6]ORÇAMENTO!X257</f>
        <v>401.44</v>
      </c>
    </row>
    <row r="234" spans="1:11" ht="24">
      <c r="A234" s="94" t="s">
        <v>299</v>
      </c>
      <c r="B234" s="105" t="str">
        <f>[6]ORÇAMENTO!P258</f>
        <v>SINAPI</v>
      </c>
      <c r="C234" s="105" t="str">
        <f>[6]ORÇAMENTO!Q258</f>
        <v>93657</v>
      </c>
      <c r="D234" s="106" t="str">
        <f>[6]ORÇAMENTO!R258</f>
        <v>DISJUNTOR MONOPOLAR TIPO DIN, CORRENTE NOMINAL DE 32A - FORNECIMENTO E INSTALAÇÃO. AF_07/2025</v>
      </c>
      <c r="E234" s="16" t="str">
        <f>[6]ORÇAMENTO!S258</f>
        <v>UN</v>
      </c>
      <c r="F234" s="17">
        <f>[6]ORÇAMENTO!T258</f>
        <v>4</v>
      </c>
      <c r="G234" s="17">
        <f>[6]ORÇAMENTO!U258</f>
        <v>15.14</v>
      </c>
      <c r="H234" s="17">
        <f>[6]ORÇAMENTO!W258</f>
        <v>18.73</v>
      </c>
      <c r="I234" s="95">
        <f>[6]ORÇAMENTO!X258</f>
        <v>74.92</v>
      </c>
    </row>
    <row r="235" spans="1:11" ht="24">
      <c r="A235" s="94" t="s">
        <v>299</v>
      </c>
      <c r="B235" s="105" t="str">
        <f>[6]ORÇAMENTO!P259</f>
        <v>SINAPI</v>
      </c>
      <c r="C235" s="105" t="str">
        <f>[6]ORÇAMENTO!Q259</f>
        <v>93669</v>
      </c>
      <c r="D235" s="106" t="str">
        <f>[6]ORÇAMENTO!R259</f>
        <v>DISJUNTOR TRIPOLAR TIPO DIN, CORRENTE NOMINAL DE 20A - FORNECIMENTO E INSTALAÇÃO. AF_07/2025</v>
      </c>
      <c r="E235" s="16" t="str">
        <f>[6]ORÇAMENTO!S259</f>
        <v>UN</v>
      </c>
      <c r="F235" s="17">
        <f>[6]ORÇAMENTO!T259</f>
        <v>4</v>
      </c>
      <c r="G235" s="17">
        <f>[6]ORÇAMENTO!U259</f>
        <v>70.59</v>
      </c>
      <c r="H235" s="17">
        <f>[6]ORÇAMENTO!W259</f>
        <v>87.33</v>
      </c>
      <c r="I235" s="95">
        <f>[6]ORÇAMENTO!X259</f>
        <v>349.32</v>
      </c>
    </row>
    <row r="236" spans="1:11" ht="24">
      <c r="A236" s="94" t="s">
        <v>299</v>
      </c>
      <c r="B236" s="105" t="str">
        <f>[6]ORÇAMENTO!P260</f>
        <v>SINAPI</v>
      </c>
      <c r="C236" s="105" t="str">
        <f>[6]ORÇAMENTO!Q260</f>
        <v>93673</v>
      </c>
      <c r="D236" s="106" t="str">
        <f>[6]ORÇAMENTO!R260</f>
        <v>DISJUNTOR TRIPOLAR TIPO DIN, CORRENTE NOMINAL DE 50A - FORNECIMENTO E INSTALAÇÃO. AF_07/2025</v>
      </c>
      <c r="E236" s="16" t="str">
        <f>[6]ORÇAMENTO!S260</f>
        <v>UN</v>
      </c>
      <c r="F236" s="17">
        <f>[6]ORÇAMENTO!T260</f>
        <v>4</v>
      </c>
      <c r="G236" s="17">
        <f>[6]ORÇAMENTO!U260</f>
        <v>95.47</v>
      </c>
      <c r="H236" s="17">
        <f>[6]ORÇAMENTO!W260</f>
        <v>118.11</v>
      </c>
      <c r="I236" s="95">
        <f>[6]ORÇAMENTO!X260</f>
        <v>472.44</v>
      </c>
    </row>
    <row r="237" spans="1:11" ht="24">
      <c r="A237" s="94" t="s">
        <v>299</v>
      </c>
      <c r="B237" s="105" t="str">
        <f>[6]ORÇAMENTO!P261</f>
        <v>SINAPI</v>
      </c>
      <c r="C237" s="105" t="str">
        <f>[6]ORÇAMENTO!Q261</f>
        <v>101894</v>
      </c>
      <c r="D237" s="106" t="str">
        <f>[6]ORÇAMENTO!R261</f>
        <v>DISJUNTOR TRIPOLAR TIPO NEMA, CORRENTE NOMINAL DE 60 ATÉ 100A - FORNECIMENTO E INSTALAÇÃO. AF_07/2025</v>
      </c>
      <c r="E237" s="16" t="str">
        <f>[6]ORÇAMENTO!S261</f>
        <v>UN</v>
      </c>
      <c r="F237" s="17">
        <f>[6]ORÇAMENTO!T261</f>
        <v>2</v>
      </c>
      <c r="G237" s="17">
        <f>[6]ORÇAMENTO!U261</f>
        <v>152.61000000000001</v>
      </c>
      <c r="H237" s="17">
        <f>[6]ORÇAMENTO!W261</f>
        <v>188.79</v>
      </c>
      <c r="I237" s="95">
        <f>[6]ORÇAMENTO!X261</f>
        <v>377.58</v>
      </c>
    </row>
    <row r="238" spans="1:11">
      <c r="A238" s="94" t="s">
        <v>299</v>
      </c>
      <c r="B238" s="105" t="str">
        <f>[6]ORÇAMENTO!P262</f>
        <v>SINAPI-I</v>
      </c>
      <c r="C238" s="105" t="str">
        <f>[6]ORÇAMENTO!Q262</f>
        <v>2391</v>
      </c>
      <c r="D238" s="106" t="str">
        <f>[6]ORÇAMENTO!R262</f>
        <v>DISJUNTOR TERMOMAGNETICO TRIPOLAR 125 A / 425 V / ICC - 25 KA</v>
      </c>
      <c r="E238" s="16" t="str">
        <f>[6]ORÇAMENTO!S262</f>
        <v>UN</v>
      </c>
      <c r="F238" s="17">
        <f>[6]ORÇAMENTO!T262</f>
        <v>1</v>
      </c>
      <c r="G238" s="17">
        <f>[6]ORÇAMENTO!U262</f>
        <v>315.58999999999997</v>
      </c>
      <c r="H238" s="17">
        <f>[6]ORÇAMENTO!W262</f>
        <v>390.42</v>
      </c>
      <c r="I238" s="95">
        <f>[6]ORÇAMENTO!X262</f>
        <v>390.42</v>
      </c>
    </row>
    <row r="239" spans="1:11" ht="24">
      <c r="A239" s="94" t="s">
        <v>299</v>
      </c>
      <c r="B239" s="105" t="str">
        <f>[6]ORÇAMENTO!P263</f>
        <v>SINAPI-I</v>
      </c>
      <c r="C239" s="105" t="str">
        <f>[6]ORÇAMENTO!Q263</f>
        <v>2374</v>
      </c>
      <c r="D239" s="106" t="str">
        <f>[6]ORÇAMENTO!R263</f>
        <v>DISJUNTOR TERMOMAGNETICO TRIPOLAR 150 A / 600 V, TIPO FXD / ICC - 35 KA</v>
      </c>
      <c r="E239" s="16" t="str">
        <f>[6]ORÇAMENTO!S263</f>
        <v>UN</v>
      </c>
      <c r="F239" s="17">
        <f>[6]ORÇAMENTO!T263</f>
        <v>1</v>
      </c>
      <c r="G239" s="17">
        <f>[6]ORÇAMENTO!U263</f>
        <v>358.03</v>
      </c>
      <c r="H239" s="17">
        <f>[6]ORÇAMENTO!W263</f>
        <v>442.92</v>
      </c>
      <c r="I239" s="95">
        <f>[6]ORÇAMENTO!X263</f>
        <v>442.92</v>
      </c>
    </row>
    <row r="240" spans="1:11" ht="24">
      <c r="A240" s="94" t="s">
        <v>299</v>
      </c>
      <c r="B240" s="105" t="str">
        <f>[6]ORÇAMENTO!P264</f>
        <v>SINAPI-I</v>
      </c>
      <c r="C240" s="105" t="str">
        <f>[6]ORÇAMENTO!Q264</f>
        <v>39467</v>
      </c>
      <c r="D240" s="106" t="str">
        <f>[6]ORÇAMENTO!R264</f>
        <v>DISPOSITIVO DPS CLASSE II, 1 POLO, TENSAO MAXIMA DE 175 V, CORRENTE MAXIMA DE *45* KA (TIPO AC)</v>
      </c>
      <c r="E240" s="16" t="str">
        <f>[6]ORÇAMENTO!S264</f>
        <v>UN</v>
      </c>
      <c r="F240" s="17">
        <f>[6]ORÇAMENTO!T264</f>
        <v>4</v>
      </c>
      <c r="G240" s="17">
        <f>[6]ORÇAMENTO!U264</f>
        <v>88.71</v>
      </c>
      <c r="H240" s="17">
        <f>[6]ORÇAMENTO!W264</f>
        <v>109.74</v>
      </c>
      <c r="I240" s="95">
        <f>[6]ORÇAMENTO!X264</f>
        <v>438.96</v>
      </c>
    </row>
    <row r="241" spans="1:11" ht="24">
      <c r="A241" s="94" t="s">
        <v>299</v>
      </c>
      <c r="B241" s="105" t="str">
        <f>[6]ORÇAMENTO!P265</f>
        <v>SINAPI-I</v>
      </c>
      <c r="C241" s="105" t="str">
        <f>[6]ORÇAMENTO!Q265</f>
        <v>39471</v>
      </c>
      <c r="D241" s="106" t="str">
        <f>[6]ORÇAMENTO!R265</f>
        <v>DISPOSITIVO DPS CLASSE II, 1 POLO, TENSAO MAXIMA DE 275 V, CORRENTE MAXIMA DE *45* KA (TIPO AC)</v>
      </c>
      <c r="E241" s="16" t="str">
        <f>[6]ORÇAMENTO!S265</f>
        <v>UN</v>
      </c>
      <c r="F241" s="17">
        <f>[6]ORÇAMENTO!T265</f>
        <v>22</v>
      </c>
      <c r="G241" s="17">
        <f>[6]ORÇAMENTO!U265</f>
        <v>94.84</v>
      </c>
      <c r="H241" s="17">
        <f>[6]ORÇAMENTO!W265</f>
        <v>117.33</v>
      </c>
      <c r="I241" s="95">
        <f>[6]ORÇAMENTO!X265</f>
        <v>2581.2600000000002</v>
      </c>
    </row>
    <row r="242" spans="1:11" ht="24">
      <c r="A242" s="94" t="s">
        <v>299</v>
      </c>
      <c r="B242" s="105" t="str">
        <f>[6]ORÇAMENTO!P266</f>
        <v>SINAPI-I</v>
      </c>
      <c r="C242" s="105" t="str">
        <f>[6]ORÇAMENTO!Q266</f>
        <v>39472</v>
      </c>
      <c r="D242" s="106" t="str">
        <f>[6]ORÇAMENTO!R266</f>
        <v>DISPOSITIVO DPS CLASSE II, 1 POLO, TENSAO MAXIMA DE 275 V, CORRENTE MAXIMA DE *90* KA (TIPO AC)</v>
      </c>
      <c r="E242" s="16" t="str">
        <f>[6]ORÇAMENTO!S266</f>
        <v>UN</v>
      </c>
      <c r="F242" s="17">
        <f>[6]ORÇAMENTO!T266</f>
        <v>4</v>
      </c>
      <c r="G242" s="17">
        <f>[6]ORÇAMENTO!U266</f>
        <v>164.79</v>
      </c>
      <c r="H242" s="17">
        <f>[6]ORÇAMENTO!W266</f>
        <v>203.86</v>
      </c>
      <c r="I242" s="95">
        <f>[6]ORÇAMENTO!X266</f>
        <v>815.44</v>
      </c>
    </row>
    <row r="243" spans="1:11" s="116" customFormat="1">
      <c r="A243" s="117" t="s">
        <v>196</v>
      </c>
      <c r="B243" s="118"/>
      <c r="C243" s="118"/>
      <c r="D243" s="119" t="str">
        <f>[6]ORÇAMENTO!R267</f>
        <v>ELETRODUTOS E ACESSÓRIOS</v>
      </c>
      <c r="E243" s="120"/>
      <c r="F243" s="121"/>
      <c r="G243" s="121"/>
      <c r="H243" s="121"/>
      <c r="I243" s="122">
        <f>[6]ORÇAMENTO!X267</f>
        <v>14095.2</v>
      </c>
      <c r="J243" s="115"/>
      <c r="K243" s="115"/>
    </row>
    <row r="244" spans="1:11" ht="36">
      <c r="A244" s="94" t="s">
        <v>300</v>
      </c>
      <c r="B244" s="105" t="str">
        <f>[6]ORÇAMENTO!P268</f>
        <v>SINAPI-I</v>
      </c>
      <c r="C244" s="105">
        <f>[6]ORÇAMENTO!Q268</f>
        <v>14055</v>
      </c>
      <c r="D244" s="106" t="str">
        <f>[6]ORÇAMENTO!R268</f>
        <v>CAIXA DE PASSAGEM/ LUZ / TELEFONIA, DE EMBUTIR, EM CHAPA DE ACO GALVANIZADO, DIMENSOES 120 X 120 X *12* CM (PADRAO CONCESSIONARIA LOCAL)</v>
      </c>
      <c r="E244" s="16" t="str">
        <f>[6]ORÇAMENTO!S268</f>
        <v>UN</v>
      </c>
      <c r="F244" s="17">
        <f>[6]ORÇAMENTO!T268</f>
        <v>16</v>
      </c>
      <c r="G244" s="17">
        <f>[6]ORÇAMENTO!U268</f>
        <v>712.11</v>
      </c>
      <c r="H244" s="17">
        <f>[6]ORÇAMENTO!W268</f>
        <v>880.95</v>
      </c>
      <c r="I244" s="95">
        <f>[6]ORÇAMENTO!X268</f>
        <v>14095.2</v>
      </c>
    </row>
    <row r="245" spans="1:11" s="116" customFormat="1">
      <c r="A245" s="117" t="s">
        <v>197</v>
      </c>
      <c r="B245" s="118"/>
      <c r="C245" s="118"/>
      <c r="D245" s="119" t="str">
        <f>[6]ORÇAMENTO!R269</f>
        <v>CABOS E FIOS (CONDUTORES)</v>
      </c>
      <c r="E245" s="120"/>
      <c r="F245" s="121"/>
      <c r="G245" s="121"/>
      <c r="H245" s="121"/>
      <c r="I245" s="122">
        <f>[6]ORÇAMENTO!X269</f>
        <v>52402.41</v>
      </c>
      <c r="J245" s="115"/>
      <c r="K245" s="115"/>
    </row>
    <row r="246" spans="1:11" ht="24">
      <c r="A246" s="94" t="s">
        <v>301</v>
      </c>
      <c r="B246" s="105" t="str">
        <f>[6]ORÇAMENTO!P270</f>
        <v>SINAPI</v>
      </c>
      <c r="C246" s="105">
        <f>[6]ORÇAMENTO!Q270</f>
        <v>91926</v>
      </c>
      <c r="D246" s="106" t="str">
        <f>[6]ORÇAMENTO!R270</f>
        <v>CABO DE COBRE FLEXÍVEL ISOLADO, 2,5 MM², ANTI-CHAMA 450/750 V, PARA CIRCUITOS TERMINAIS - FORNECIMENTO E INSTALAÇÃO. AF_03/2023</v>
      </c>
      <c r="E246" s="16" t="str">
        <f>[6]ORÇAMENTO!S270</f>
        <v>M</v>
      </c>
      <c r="F246" s="17">
        <f>[6]ORÇAMENTO!T270</f>
        <v>2800.3</v>
      </c>
      <c r="G246" s="17">
        <f>[6]ORÇAMENTO!U270</f>
        <v>4.59</v>
      </c>
      <c r="H246" s="17">
        <f>[6]ORÇAMENTO!W270</f>
        <v>5.68</v>
      </c>
      <c r="I246" s="95">
        <f>[6]ORÇAMENTO!X270</f>
        <v>15905.7</v>
      </c>
    </row>
    <row r="247" spans="1:11" ht="24">
      <c r="A247" s="94" t="s">
        <v>301</v>
      </c>
      <c r="B247" s="105" t="str">
        <f>[6]ORÇAMENTO!P271</f>
        <v>SINAPI</v>
      </c>
      <c r="C247" s="105">
        <f>[6]ORÇAMENTO!Q271</f>
        <v>91928</v>
      </c>
      <c r="D247" s="106" t="str">
        <f>[6]ORÇAMENTO!R271</f>
        <v>CABO DE COBRE FLEXÍVEL ISOLADO, 4 MM², ANTI-CHAMA 450/750 V, PARA CIRCUITOS TERMINAIS - FORNECIMENTO E INSTALAÇÃO. AF_03/2023</v>
      </c>
      <c r="E247" s="16" t="str">
        <f>[6]ORÇAMENTO!S271</f>
        <v>M</v>
      </c>
      <c r="F247" s="17">
        <f>[6]ORÇAMENTO!T271</f>
        <v>955.3</v>
      </c>
      <c r="G247" s="17">
        <f>[6]ORÇAMENTO!U271</f>
        <v>7.08</v>
      </c>
      <c r="H247" s="17">
        <f>[6]ORÇAMENTO!W271</f>
        <v>8.76</v>
      </c>
      <c r="I247" s="95">
        <f>[6]ORÇAMENTO!X271</f>
        <v>8368.43</v>
      </c>
    </row>
    <row r="248" spans="1:11" ht="24">
      <c r="A248" s="94" t="s">
        <v>301</v>
      </c>
      <c r="B248" s="105" t="str">
        <f>[6]ORÇAMENTO!P272</f>
        <v>SINAPI</v>
      </c>
      <c r="C248" s="105">
        <f>[6]ORÇAMENTO!Q272</f>
        <v>91930</v>
      </c>
      <c r="D248" s="106" t="str">
        <f>[6]ORÇAMENTO!R272</f>
        <v>CABO DE COBRE FLEXÍVEL ISOLADO, 6 MM², ANTI-CHAMA 450/750 V, PARA CIRCUITOS TERMINAIS - FORNECIMENTO E INSTALAÇÃO. AF_03/2023</v>
      </c>
      <c r="E248" s="16" t="str">
        <f>[6]ORÇAMENTO!S272</f>
        <v>M</v>
      </c>
      <c r="F248" s="17">
        <f>[6]ORÇAMENTO!T272</f>
        <v>214.2</v>
      </c>
      <c r="G248" s="17">
        <f>[6]ORÇAMENTO!U272</f>
        <v>9.89</v>
      </c>
      <c r="H248" s="17">
        <f>[6]ORÇAMENTO!W272</f>
        <v>12.23</v>
      </c>
      <c r="I248" s="95">
        <f>[6]ORÇAMENTO!X272</f>
        <v>2619.67</v>
      </c>
    </row>
    <row r="249" spans="1:11" ht="24">
      <c r="A249" s="94" t="s">
        <v>301</v>
      </c>
      <c r="B249" s="105" t="str">
        <f>[6]ORÇAMENTO!P273</f>
        <v>SINAPI</v>
      </c>
      <c r="C249" s="105">
        <f>[6]ORÇAMENTO!Q273</f>
        <v>91934</v>
      </c>
      <c r="D249" s="106" t="str">
        <f>[6]ORÇAMENTO!R273</f>
        <v>CABO DE COBRE FLEXÍVEL ISOLADO, 16 MM², ANTI-CHAMA 450/750 V, PARA CIRCUITOS TERMINAIS - FORNECIMENTO E INSTALAÇÃO. AF_03/2023</v>
      </c>
      <c r="E249" s="16" t="str">
        <f>[6]ORÇAMENTO!S273</f>
        <v>M</v>
      </c>
      <c r="F249" s="17">
        <f>[6]ORÇAMENTO!T273</f>
        <v>140.6</v>
      </c>
      <c r="G249" s="17">
        <f>[6]ORÇAMENTO!U273</f>
        <v>25.51</v>
      </c>
      <c r="H249" s="17">
        <f>[6]ORÇAMENTO!W273</f>
        <v>31.56</v>
      </c>
      <c r="I249" s="95">
        <f>[6]ORÇAMENTO!X273</f>
        <v>4437.34</v>
      </c>
    </row>
    <row r="250" spans="1:11" ht="36">
      <c r="A250" s="94" t="s">
        <v>301</v>
      </c>
      <c r="B250" s="105" t="str">
        <f>[6]ORÇAMENTO!P274</f>
        <v>SINAPI</v>
      </c>
      <c r="C250" s="105" t="str">
        <f>[6]ORÇAMENTO!Q274</f>
        <v>92984</v>
      </c>
      <c r="D250" s="106" t="str">
        <f>[6]ORÇAMENTO!R274</f>
        <v>CABO DE COBRE FLEXÍVEL ISOLADO, 25 MM², ANTI-CHAMA 0,6/1,0 KV, PARA REDE ENTERRADA DE DISTRIBUIÇÃO DE ENERGIA ELÉTRICA - FORNECIMENTO E INSTALAÇÃO. AF_12/2021</v>
      </c>
      <c r="E250" s="16" t="str">
        <f>[6]ORÇAMENTO!S274</f>
        <v>M</v>
      </c>
      <c r="F250" s="17">
        <f>[6]ORÇAMENTO!T274</f>
        <v>145.6</v>
      </c>
      <c r="G250" s="17">
        <f>[6]ORÇAMENTO!U274</f>
        <v>28.99</v>
      </c>
      <c r="H250" s="17">
        <f>[6]ORÇAMENTO!W274</f>
        <v>35.86</v>
      </c>
      <c r="I250" s="95">
        <f>[6]ORÇAMENTO!X274</f>
        <v>5221.22</v>
      </c>
    </row>
    <row r="251" spans="1:11" ht="36">
      <c r="A251" s="94" t="s">
        <v>301</v>
      </c>
      <c r="B251" s="105" t="str">
        <f>[6]ORÇAMENTO!P275</f>
        <v>SINAPI</v>
      </c>
      <c r="C251" s="105" t="str">
        <f>[6]ORÇAMENTO!Q275</f>
        <v>92986</v>
      </c>
      <c r="D251" s="106" t="str">
        <f>[6]ORÇAMENTO!R275</f>
        <v>CABO DE COBRE FLEXÍVEL ISOLADO, 35 MM², ANTI-CHAMA 0,6/1,0 KV, PARA REDE ENTERRADA DE DISTRIBUIÇÃO DE ENERGIA ELÉTRICA - FORNECIMENTO E INSTALAÇÃO. AF_12/2021</v>
      </c>
      <c r="E251" s="16" t="str">
        <f>[6]ORÇAMENTO!S275</f>
        <v>M</v>
      </c>
      <c r="F251" s="17">
        <f>[6]ORÇAMENTO!T275</f>
        <v>35.5</v>
      </c>
      <c r="G251" s="17">
        <f>[6]ORÇAMENTO!U275</f>
        <v>40.03</v>
      </c>
      <c r="H251" s="17">
        <f>[6]ORÇAMENTO!W275</f>
        <v>49.52</v>
      </c>
      <c r="I251" s="95">
        <f>[6]ORÇAMENTO!X275</f>
        <v>1757.96</v>
      </c>
    </row>
    <row r="252" spans="1:11" ht="36">
      <c r="A252" s="94" t="s">
        <v>301</v>
      </c>
      <c r="B252" s="105" t="str">
        <f>[6]ORÇAMENTO!P276</f>
        <v>SINAPI</v>
      </c>
      <c r="C252" s="105" t="str">
        <f>[6]ORÇAMENTO!Q276</f>
        <v>92990</v>
      </c>
      <c r="D252" s="106" t="str">
        <f>[6]ORÇAMENTO!R276</f>
        <v>CABO DE COBRE FLEXÍVEL ISOLADO, 70 MM², ANTI-CHAMA 0,6/1,0 KV, PARA REDE ENTERRADA DE DISTRIBUIÇÃO DE ENERGIA ELÉTRICA - FORNECIMENTO E INSTALAÇÃO. AF_12/2021</v>
      </c>
      <c r="E252" s="16" t="str">
        <f>[6]ORÇAMENTO!S276</f>
        <v>M</v>
      </c>
      <c r="F252" s="17">
        <f>[6]ORÇAMENTO!T276</f>
        <v>141.9</v>
      </c>
      <c r="G252" s="17">
        <f>[6]ORÇAMENTO!U276</f>
        <v>80.28</v>
      </c>
      <c r="H252" s="17">
        <f>[6]ORÇAMENTO!W276</f>
        <v>99.31</v>
      </c>
      <c r="I252" s="95">
        <f>[6]ORÇAMENTO!X276</f>
        <v>14092.09</v>
      </c>
    </row>
    <row r="253" spans="1:11" s="116" customFormat="1">
      <c r="A253" s="117" t="s">
        <v>198</v>
      </c>
      <c r="B253" s="118"/>
      <c r="C253" s="118"/>
      <c r="D253" s="119" t="str">
        <f>[6]ORÇAMENTO!R277</f>
        <v>ELETROCALHAS</v>
      </c>
      <c r="E253" s="120"/>
      <c r="F253" s="121"/>
      <c r="G253" s="121"/>
      <c r="H253" s="121"/>
      <c r="I253" s="122">
        <f>[6]ORÇAMENTO!X277</f>
        <v>8046.48</v>
      </c>
      <c r="J253" s="115"/>
      <c r="K253" s="115"/>
    </row>
    <row r="254" spans="1:11">
      <c r="A254" s="94" t="s">
        <v>302</v>
      </c>
      <c r="B254" s="105" t="str">
        <f>[6]ORÇAMENTO!P278</f>
        <v>Cotação</v>
      </c>
      <c r="C254" s="105" t="str">
        <f>[6]ORÇAMENTO!Q278</f>
        <v>02</v>
      </c>
      <c r="D254" s="106" t="str">
        <f>[6]ORÇAMENTO!R278</f>
        <v>ELETROCALHA 50X50mm</v>
      </c>
      <c r="E254" s="16" t="str">
        <f>[6]ORÇAMENTO!S278</f>
        <v>M</v>
      </c>
      <c r="F254" s="17">
        <f>[6]ORÇAMENTO!T278</f>
        <v>36.299999999999997</v>
      </c>
      <c r="G254" s="17">
        <f>[6]ORÇAMENTO!U278</f>
        <v>19.23</v>
      </c>
      <c r="H254" s="17">
        <f>[6]ORÇAMENTO!W278</f>
        <v>23.79</v>
      </c>
      <c r="I254" s="95">
        <f>[6]ORÇAMENTO!X278</f>
        <v>863.58</v>
      </c>
    </row>
    <row r="255" spans="1:11">
      <c r="A255" s="94" t="s">
        <v>302</v>
      </c>
      <c r="B255" s="105" t="str">
        <f>[6]ORÇAMENTO!P279</f>
        <v>Cotação</v>
      </c>
      <c r="C255" s="105" t="str">
        <f>[6]ORÇAMENTO!Q279</f>
        <v>03</v>
      </c>
      <c r="D255" s="106" t="str">
        <f>[6]ORÇAMENTO!R279</f>
        <v>ELETROCALHA 100X50mm</v>
      </c>
      <c r="E255" s="16" t="str">
        <f>[6]ORÇAMENTO!S279</f>
        <v>M</v>
      </c>
      <c r="F255" s="17">
        <f>[6]ORÇAMENTO!T279</f>
        <v>58</v>
      </c>
      <c r="G255" s="17">
        <f>[6]ORÇAMENTO!U279</f>
        <v>45.33</v>
      </c>
      <c r="H255" s="17">
        <f>[6]ORÇAMENTO!W279</f>
        <v>56.08</v>
      </c>
      <c r="I255" s="95">
        <f>[6]ORÇAMENTO!X279</f>
        <v>3252.64</v>
      </c>
    </row>
    <row r="256" spans="1:11">
      <c r="A256" s="94" t="s">
        <v>302</v>
      </c>
      <c r="B256" s="105" t="str">
        <f>[6]ORÇAMENTO!P280</f>
        <v>Cotação</v>
      </c>
      <c r="C256" s="105" t="str">
        <f>[6]ORÇAMENTO!Q280</f>
        <v>04</v>
      </c>
      <c r="D256" s="106" t="str">
        <f>[6]ORÇAMENTO!R280</f>
        <v>ELETROCALHA 100X100mm</v>
      </c>
      <c r="E256" s="16" t="str">
        <f>[6]ORÇAMENTO!S280</f>
        <v>M</v>
      </c>
      <c r="F256" s="17">
        <f>[6]ORÇAMENTO!T280</f>
        <v>0.6</v>
      </c>
      <c r="G256" s="17">
        <f>[6]ORÇAMENTO!U280</f>
        <v>61.02</v>
      </c>
      <c r="H256" s="17">
        <f>[6]ORÇAMENTO!W280</f>
        <v>75.489999999999995</v>
      </c>
      <c r="I256" s="95">
        <f>[6]ORÇAMENTO!X280</f>
        <v>45.29</v>
      </c>
    </row>
    <row r="257" spans="1:11" ht="15" customHeight="1">
      <c r="A257" s="94" t="s">
        <v>302</v>
      </c>
      <c r="B257" s="105" t="str">
        <f>[6]ORÇAMENTO!P281</f>
        <v>Composição</v>
      </c>
      <c r="C257" s="105" t="str">
        <f>[6]ORÇAMENTO!Q281</f>
        <v>044</v>
      </c>
      <c r="D257" s="106" t="str">
        <f>[6]ORÇAMENTO!R281</f>
        <v>SUPORTE VERTICAL ELETROCALHA 70X81MM</v>
      </c>
      <c r="E257" s="16" t="str">
        <f>[6]ORÇAMENTO!S281</f>
        <v xml:space="preserve">UN    </v>
      </c>
      <c r="F257" s="17">
        <f>[6]ORÇAMENTO!T281</f>
        <v>21</v>
      </c>
      <c r="G257" s="17">
        <f>[6]ORÇAMENTO!U281</f>
        <v>44.28</v>
      </c>
      <c r="H257" s="17">
        <f>[6]ORÇAMENTO!W281</f>
        <v>54.78</v>
      </c>
      <c r="I257" s="95">
        <f>[6]ORÇAMENTO!X281</f>
        <v>1150.3800000000001</v>
      </c>
    </row>
    <row r="258" spans="1:11" ht="15" customHeight="1">
      <c r="A258" s="94" t="s">
        <v>302</v>
      </c>
      <c r="B258" s="105" t="str">
        <f>[6]ORÇAMENTO!P282</f>
        <v>Composição</v>
      </c>
      <c r="C258" s="105" t="str">
        <f>[6]ORÇAMENTO!Q282</f>
        <v>045</v>
      </c>
      <c r="D258" s="106" t="str">
        <f>[6]ORÇAMENTO!R282</f>
        <v>SUPORTE VERTICAL ELETROCALHA 70X96MM</v>
      </c>
      <c r="E258" s="16" t="str">
        <f>[6]ORÇAMENTO!S282</f>
        <v xml:space="preserve">UN    </v>
      </c>
      <c r="F258" s="17">
        <f>[6]ORÇAMENTO!T282</f>
        <v>33</v>
      </c>
      <c r="G258" s="17">
        <f>[6]ORÇAMENTO!U282</f>
        <v>58.87</v>
      </c>
      <c r="H258" s="17">
        <f>[6]ORÇAMENTO!W282</f>
        <v>72.83</v>
      </c>
      <c r="I258" s="95">
        <f>[6]ORÇAMENTO!X282</f>
        <v>2403.39</v>
      </c>
    </row>
    <row r="259" spans="1:11" ht="15" customHeight="1">
      <c r="A259" s="94" t="s">
        <v>302</v>
      </c>
      <c r="B259" s="105" t="str">
        <f>[6]ORÇAMENTO!P283</f>
        <v>Composição</v>
      </c>
      <c r="C259" s="105" t="str">
        <f>[6]ORÇAMENTO!Q283</f>
        <v>046</v>
      </c>
      <c r="D259" s="106" t="str">
        <f>[6]ORÇAMENTO!R283</f>
        <v>TALA PLANA PERFURADA 50MM</v>
      </c>
      <c r="E259" s="16" t="str">
        <f>[6]ORÇAMENTO!S283</f>
        <v xml:space="preserve">UN    </v>
      </c>
      <c r="F259" s="17">
        <f>[6]ORÇAMENTO!T283</f>
        <v>40</v>
      </c>
      <c r="G259" s="17">
        <f>[6]ORÇAMENTO!U283</f>
        <v>6.69</v>
      </c>
      <c r="H259" s="17">
        <f>[6]ORÇAMENTO!W283</f>
        <v>8.2799999999999994</v>
      </c>
      <c r="I259" s="95">
        <f>[6]ORÇAMENTO!X283</f>
        <v>331.2</v>
      </c>
    </row>
    <row r="260" spans="1:11" s="116" customFormat="1">
      <c r="A260" s="117" t="s">
        <v>199</v>
      </c>
      <c r="B260" s="118"/>
      <c r="C260" s="118"/>
      <c r="D260" s="119" t="str">
        <f>[6]ORÇAMENTO!R284</f>
        <v>ILUMINAÇÃO E TOMADAS</v>
      </c>
      <c r="E260" s="120"/>
      <c r="F260" s="121"/>
      <c r="G260" s="121"/>
      <c r="H260" s="121"/>
      <c r="I260" s="122">
        <f>[6]ORÇAMENTO!X284</f>
        <v>6692.94</v>
      </c>
      <c r="J260" s="115"/>
      <c r="K260" s="115"/>
    </row>
    <row r="261" spans="1:11" ht="24">
      <c r="A261" s="94" t="s">
        <v>303</v>
      </c>
      <c r="B261" s="105" t="str">
        <f>[6]ORÇAMENTO!P285</f>
        <v>SINAPI</v>
      </c>
      <c r="C261" s="105">
        <f>[6]ORÇAMENTO!Q285</f>
        <v>91994</v>
      </c>
      <c r="D261" s="106" t="str">
        <f>[6]ORÇAMENTO!R285</f>
        <v>TOMADA MÉDIA DE EMBUTIR (1 MÓDULO), 2P+T 10 A, SEM SUPORTE E SEM PLACA - FORNECIMENTO E INSTALAÇÃO. AF_03/2023</v>
      </c>
      <c r="E261" s="16" t="str">
        <f>[6]ORÇAMENTO!S285</f>
        <v>UN</v>
      </c>
      <c r="F261" s="17">
        <f>[6]ORÇAMENTO!T285</f>
        <v>49</v>
      </c>
      <c r="G261" s="17">
        <f>[6]ORÇAMENTO!U285</f>
        <v>27.72</v>
      </c>
      <c r="H261" s="17">
        <f>[6]ORÇAMENTO!W285</f>
        <v>34.29</v>
      </c>
      <c r="I261" s="95">
        <f>[6]ORÇAMENTO!X285</f>
        <v>1680.21</v>
      </c>
    </row>
    <row r="262" spans="1:11" ht="24">
      <c r="A262" s="94" t="s">
        <v>303</v>
      </c>
      <c r="B262" s="105" t="str">
        <f>[6]ORÇAMENTO!P286</f>
        <v>SINAPI</v>
      </c>
      <c r="C262" s="105">
        <f>[6]ORÇAMENTO!Q286</f>
        <v>91995</v>
      </c>
      <c r="D262" s="106" t="str">
        <f>[6]ORÇAMENTO!R286</f>
        <v>TOMADA MÉDIA DE EMBUTIR (1 MÓDULO), 2P+T 20 A, SEM SUPORTE E SEM PLACA - FORNECIMENTO E INSTALAÇÃO. AF_03/2023</v>
      </c>
      <c r="E262" s="16" t="str">
        <f>[6]ORÇAMENTO!S286</f>
        <v>UN</v>
      </c>
      <c r="F262" s="17">
        <f>[6]ORÇAMENTO!T286</f>
        <v>11</v>
      </c>
      <c r="G262" s="17">
        <f>[6]ORÇAMENTO!U286</f>
        <v>30.37</v>
      </c>
      <c r="H262" s="17">
        <f>[6]ORÇAMENTO!W286</f>
        <v>37.57</v>
      </c>
      <c r="I262" s="95">
        <f>[6]ORÇAMENTO!X286</f>
        <v>413.27</v>
      </c>
    </row>
    <row r="263" spans="1:11" ht="24">
      <c r="A263" s="94" t="s">
        <v>303</v>
      </c>
      <c r="B263" s="105" t="str">
        <f>[6]ORÇAMENTO!P287</f>
        <v>SINAPI</v>
      </c>
      <c r="C263" s="105">
        <f>[6]ORÇAMENTO!Q287</f>
        <v>91953</v>
      </c>
      <c r="D263" s="106" t="str">
        <f>[6]ORÇAMENTO!R287</f>
        <v>INTERRUPTOR SIMPLES (1 MÓDULO), 10A/250V, INCLUINDO SUPORTE E PLACA - FORNECIMENTO E INSTALAÇÃO. AF_03/2023</v>
      </c>
      <c r="E263" s="16" t="str">
        <f>[6]ORÇAMENTO!S287</f>
        <v>UN</v>
      </c>
      <c r="F263" s="17">
        <f>[6]ORÇAMENTO!T287</f>
        <v>1</v>
      </c>
      <c r="G263" s="17">
        <f>[6]ORÇAMENTO!U287</f>
        <v>34.4</v>
      </c>
      <c r="H263" s="17">
        <f>[6]ORÇAMENTO!W287</f>
        <v>42.56</v>
      </c>
      <c r="I263" s="95">
        <f>[6]ORÇAMENTO!X287</f>
        <v>42.56</v>
      </c>
    </row>
    <row r="264" spans="1:11" ht="24">
      <c r="A264" s="94" t="s">
        <v>303</v>
      </c>
      <c r="B264" s="105" t="str">
        <f>[6]ORÇAMENTO!P288</f>
        <v>SINAPI</v>
      </c>
      <c r="C264" s="105">
        <f>[6]ORÇAMENTO!Q288</f>
        <v>92022</v>
      </c>
      <c r="D264" s="106" t="str">
        <f>[6]ORÇAMENTO!R288</f>
        <v>INTERRUPTOR SIMPLES (1 MÓDULO) COM 1 TOMADA DE EMBUTIR 2P+T 10 A, SEM SUPORTE E SEM PLACA - FORNECIMENTO E INSTALAÇÃO. AF_03/2023</v>
      </c>
      <c r="E264" s="16" t="str">
        <f>[6]ORÇAMENTO!S288</f>
        <v>UN</v>
      </c>
      <c r="F264" s="17">
        <f>[6]ORÇAMENTO!T288</f>
        <v>39</v>
      </c>
      <c r="G264" s="17">
        <f>[6]ORÇAMENTO!U288</f>
        <v>45.78</v>
      </c>
      <c r="H264" s="17">
        <f>[6]ORÇAMENTO!W288</f>
        <v>56.63</v>
      </c>
      <c r="I264" s="95">
        <f>[6]ORÇAMENTO!X288</f>
        <v>2208.5700000000002</v>
      </c>
    </row>
    <row r="265" spans="1:11" ht="24">
      <c r="A265" s="94" t="s">
        <v>303</v>
      </c>
      <c r="B265" s="105" t="str">
        <f>[6]ORÇAMENTO!P289</f>
        <v>SINAPI-I</v>
      </c>
      <c r="C265" s="105">
        <f>[6]ORÇAMENTO!Q289</f>
        <v>39385</v>
      </c>
      <c r="D265" s="106" t="str">
        <f>[6]ORÇAMENTO!R289</f>
        <v>LUMINARIA LED PLAFON REDONDO DE SOBREPOR BIVOLT 12/13 W, D = *17* CM</v>
      </c>
      <c r="E265" s="16" t="str">
        <f>[6]ORÇAMENTO!S289</f>
        <v>UN</v>
      </c>
      <c r="F265" s="17">
        <f>[6]ORÇAMENTO!T289</f>
        <v>8</v>
      </c>
      <c r="G265" s="17">
        <f>[6]ORÇAMENTO!U289</f>
        <v>9.65</v>
      </c>
      <c r="H265" s="17">
        <f>[6]ORÇAMENTO!W289</f>
        <v>11.94</v>
      </c>
      <c r="I265" s="95">
        <f>[6]ORÇAMENTO!X289</f>
        <v>95.52</v>
      </c>
    </row>
    <row r="266" spans="1:11" ht="24">
      <c r="A266" s="94" t="s">
        <v>303</v>
      </c>
      <c r="B266" s="105" t="str">
        <f>[6]ORÇAMENTO!P290</f>
        <v>SINAPI-I</v>
      </c>
      <c r="C266" s="105">
        <f>[6]ORÇAMENTO!Q290</f>
        <v>39385</v>
      </c>
      <c r="D266" s="106" t="str">
        <f>[6]ORÇAMENTO!R290</f>
        <v>LUMINARIA LED PLAFON REDONDO DE SOBREPOR BIVOLT 12/13 W, D = *17* CM</v>
      </c>
      <c r="E266" s="16" t="str">
        <f>[6]ORÇAMENTO!S290</f>
        <v>UN</v>
      </c>
      <c r="F266" s="17">
        <f>[6]ORÇAMENTO!T290</f>
        <v>11</v>
      </c>
      <c r="G266" s="17">
        <f>[6]ORÇAMENTO!U290</f>
        <v>9.65</v>
      </c>
      <c r="H266" s="17">
        <f>[6]ORÇAMENTO!W290</f>
        <v>11.94</v>
      </c>
      <c r="I266" s="95">
        <f>[6]ORÇAMENTO!X290</f>
        <v>131.34</v>
      </c>
    </row>
    <row r="267" spans="1:11" ht="24">
      <c r="A267" s="94" t="s">
        <v>303</v>
      </c>
      <c r="B267" s="105" t="str">
        <f>[6]ORÇAMENTO!P291</f>
        <v>SINAPI-I</v>
      </c>
      <c r="C267" s="105">
        <f>[6]ORÇAMENTO!Q291</f>
        <v>39385</v>
      </c>
      <c r="D267" s="106" t="str">
        <f>[6]ORÇAMENTO!R291</f>
        <v>LUMINARIA LED PLAFON REDONDO DE SOBREPOR BIVOLT 12/13 W, D = *17* CM</v>
      </c>
      <c r="E267" s="16" t="str">
        <f>[6]ORÇAMENTO!S291</f>
        <v>UN</v>
      </c>
      <c r="F267" s="17">
        <f>[6]ORÇAMENTO!T291</f>
        <v>64</v>
      </c>
      <c r="G267" s="17">
        <f>[6]ORÇAMENTO!U291</f>
        <v>9.65</v>
      </c>
      <c r="H267" s="17">
        <f>[6]ORÇAMENTO!W291</f>
        <v>11.94</v>
      </c>
      <c r="I267" s="95">
        <f>[6]ORÇAMENTO!X291</f>
        <v>764.16</v>
      </c>
    </row>
    <row r="268" spans="1:11" ht="24">
      <c r="A268" s="94" t="s">
        <v>303</v>
      </c>
      <c r="B268" s="105" t="str">
        <f>[6]ORÇAMENTO!P292</f>
        <v>SINAPI-I</v>
      </c>
      <c r="C268" s="105">
        <f>[6]ORÇAMENTO!Q292</f>
        <v>39385</v>
      </c>
      <c r="D268" s="106" t="str">
        <f>[6]ORÇAMENTO!R292</f>
        <v>LUMINARIA LED PLAFON REDONDO DE SOBREPOR BIVOLT 12/13 W, D = *17* CM</v>
      </c>
      <c r="E268" s="16" t="str">
        <f>[6]ORÇAMENTO!S292</f>
        <v>UN</v>
      </c>
      <c r="F268" s="17">
        <f>[6]ORÇAMENTO!T292</f>
        <v>26</v>
      </c>
      <c r="G268" s="17">
        <f>[6]ORÇAMENTO!U292</f>
        <v>9.65</v>
      </c>
      <c r="H268" s="17">
        <f>[6]ORÇAMENTO!W292</f>
        <v>11.94</v>
      </c>
      <c r="I268" s="95">
        <f>[6]ORÇAMENTO!X292</f>
        <v>310.44</v>
      </c>
    </row>
    <row r="269" spans="1:11">
      <c r="A269" s="94" t="s">
        <v>303</v>
      </c>
      <c r="B269" s="105" t="str">
        <f>[6]ORÇAMENTO!P293</f>
        <v>SINAPI-I</v>
      </c>
      <c r="C269" s="105">
        <f>[6]ORÇAMENTO!Q293</f>
        <v>39389</v>
      </c>
      <c r="D269" s="106" t="str">
        <f>[6]ORÇAMENTO!R293</f>
        <v>LUMINARIA LED REFLETOR RETANGULAR BIVOLT, LUZ BRANCA, 10 W</v>
      </c>
      <c r="E269" s="16" t="str">
        <f>[6]ORÇAMENTO!S293</f>
        <v>UN</v>
      </c>
      <c r="F269" s="17">
        <f>[6]ORÇAMENTO!T293</f>
        <v>9</v>
      </c>
      <c r="G269" s="17">
        <f>[6]ORÇAMENTO!U293</f>
        <v>10.47</v>
      </c>
      <c r="H269" s="17">
        <f>[6]ORÇAMENTO!W293</f>
        <v>12.95</v>
      </c>
      <c r="I269" s="95">
        <f>[6]ORÇAMENTO!X293</f>
        <v>116.55</v>
      </c>
    </row>
    <row r="270" spans="1:11">
      <c r="A270" s="94" t="s">
        <v>303</v>
      </c>
      <c r="B270" s="105" t="str">
        <f>[6]ORÇAMENTO!P294</f>
        <v>SINAPI-I</v>
      </c>
      <c r="C270" s="105">
        <f>[6]ORÇAMENTO!Q294</f>
        <v>39391</v>
      </c>
      <c r="D270" s="106" t="str">
        <f>[6]ORÇAMENTO!R294</f>
        <v>LUMINARIA LED REFLETOR RETANGULAR BIVOLT, LUZ BRANCA, 50 W</v>
      </c>
      <c r="E270" s="16" t="str">
        <f>[6]ORÇAMENTO!S294</f>
        <v>UN</v>
      </c>
      <c r="F270" s="17">
        <f>[6]ORÇAMENTO!T294</f>
        <v>5</v>
      </c>
      <c r="G270" s="17">
        <f>[6]ORÇAMENTO!U294</f>
        <v>24.64</v>
      </c>
      <c r="H270" s="17">
        <f>[6]ORÇAMENTO!W294</f>
        <v>30.48</v>
      </c>
      <c r="I270" s="95">
        <f>[6]ORÇAMENTO!X294</f>
        <v>152.4</v>
      </c>
    </row>
    <row r="271" spans="1:11" ht="31.5" customHeight="1">
      <c r="A271" s="94" t="s">
        <v>303</v>
      </c>
      <c r="B271" s="105" t="str">
        <f>[6]ORÇAMENTO!P295</f>
        <v>SINAPI</v>
      </c>
      <c r="C271" s="105">
        <f>[6]ORÇAMENTO!Q295</f>
        <v>97605</v>
      </c>
      <c r="D271" s="106" t="str">
        <f>[6]ORÇAMENTO!R295</f>
        <v>LUMINÁRIA ARANDELA TIPO MEIA LUA, DE SOBREPOR, COM 1 LÂMPADA LED DE 6 W, SEM REATOR - FORNECIMENTO E INSTALAÇÃO. AF_09/2024</v>
      </c>
      <c r="E271" s="16" t="str">
        <f>[6]ORÇAMENTO!S295</f>
        <v>UN</v>
      </c>
      <c r="F271" s="17">
        <f>[6]ORÇAMENTO!T295</f>
        <v>8</v>
      </c>
      <c r="G271" s="17">
        <f>[6]ORÇAMENTO!U295</f>
        <v>78.599999999999994</v>
      </c>
      <c r="H271" s="17">
        <f>[6]ORÇAMENTO!W295</f>
        <v>97.24</v>
      </c>
      <c r="I271" s="95">
        <f>[6]ORÇAMENTO!X295</f>
        <v>777.92</v>
      </c>
    </row>
    <row r="272" spans="1:11" s="116" customFormat="1">
      <c r="A272" s="117">
        <v>14</v>
      </c>
      <c r="B272" s="118"/>
      <c r="C272" s="118"/>
      <c r="D272" s="119" t="str">
        <f>[6]ORÇAMENTO!R296</f>
        <v>INSTALAÇÕES DE CLIMATIZAÇÃO</v>
      </c>
      <c r="E272" s="120"/>
      <c r="F272" s="121"/>
      <c r="G272" s="121"/>
      <c r="H272" s="121"/>
      <c r="I272" s="122">
        <f>[6]ORÇAMENTO!X296</f>
        <v>2578.4699999999998</v>
      </c>
      <c r="J272" s="115"/>
      <c r="K272" s="115"/>
    </row>
    <row r="273" spans="1:11" ht="24">
      <c r="A273" s="94" t="s">
        <v>200</v>
      </c>
      <c r="B273" s="105" t="str">
        <f>[6]ORÇAMENTO!P297</f>
        <v>SINAPI</v>
      </c>
      <c r="C273" s="105">
        <f>[6]ORÇAMENTO!Q297</f>
        <v>89446</v>
      </c>
      <c r="D273" s="106" t="str">
        <f>[6]ORÇAMENTO!R297</f>
        <v>TUBO, PVC, SOLDÁVEL, DE 25MM, INSTALADO EM PRUMADA DE ÁGUA - FORNECIMENTO E INSTALAÇÃO. AF_06/2022</v>
      </c>
      <c r="E273" s="16" t="str">
        <f>[6]ORÇAMENTO!S297</f>
        <v>M</v>
      </c>
      <c r="F273" s="17">
        <f>[6]ORÇAMENTO!T297</f>
        <v>95</v>
      </c>
      <c r="G273" s="17">
        <f>[6]ORÇAMENTO!U297</f>
        <v>6.27</v>
      </c>
      <c r="H273" s="17">
        <f>[6]ORÇAMENTO!W297</f>
        <v>7.76</v>
      </c>
      <c r="I273" s="95">
        <f>[6]ORÇAMENTO!X297</f>
        <v>737.2</v>
      </c>
    </row>
    <row r="274" spans="1:11" ht="24">
      <c r="A274" s="94" t="s">
        <v>201</v>
      </c>
      <c r="B274" s="105" t="str">
        <f>[6]ORÇAMENTO!P298</f>
        <v>SINAPI</v>
      </c>
      <c r="C274" s="105">
        <f>[6]ORÇAMENTO!Q298</f>
        <v>89485</v>
      </c>
      <c r="D274" s="106" t="str">
        <f>[6]ORÇAMENTO!R298</f>
        <v>JOELHO 45 GRAUS, PVC, SOLDÁVEL, DN 25MM, INSTALADO EM PRUMADA DE ÁGUA - FORNECIMENTO E INSTALAÇÃO. AF_06/2022</v>
      </c>
      <c r="E274" s="16" t="str">
        <f>[6]ORÇAMENTO!S298</f>
        <v>UN</v>
      </c>
      <c r="F274" s="17">
        <f>[6]ORÇAMENTO!T298</f>
        <v>18</v>
      </c>
      <c r="G274" s="17">
        <f>[6]ORÇAMENTO!U298</f>
        <v>7.02</v>
      </c>
      <c r="H274" s="17">
        <f>[6]ORÇAMENTO!W298</f>
        <v>8.68</v>
      </c>
      <c r="I274" s="95">
        <f>[6]ORÇAMENTO!X298</f>
        <v>156.24</v>
      </c>
    </row>
    <row r="275" spans="1:11" ht="24">
      <c r="A275" s="94" t="s">
        <v>202</v>
      </c>
      <c r="B275" s="105" t="str">
        <f>[6]ORÇAMENTO!P299</f>
        <v>SINAPI</v>
      </c>
      <c r="C275" s="105">
        <f>[6]ORÇAMENTO!Q299</f>
        <v>89866</v>
      </c>
      <c r="D275" s="106" t="str">
        <f>[6]ORÇAMENTO!R299</f>
        <v>JOELHO 90 GRAUS, PVC, SOLDÁVEL, DN 25MM, INSTALADO EM DRENO DE AR-CONDICIONADO - FORNECIMENTO E INSTALAÇÃO. AF_08/2022</v>
      </c>
      <c r="E275" s="16" t="str">
        <f>[6]ORÇAMENTO!S299</f>
        <v>UN</v>
      </c>
      <c r="F275" s="17">
        <f>[6]ORÇAMENTO!T299</f>
        <v>22</v>
      </c>
      <c r="G275" s="17">
        <f>[6]ORÇAMENTO!U299</f>
        <v>8.24</v>
      </c>
      <c r="H275" s="17">
        <f>[6]ORÇAMENTO!W299</f>
        <v>10.19</v>
      </c>
      <c r="I275" s="95">
        <f>[6]ORÇAMENTO!X299</f>
        <v>224.18</v>
      </c>
    </row>
    <row r="276" spans="1:11" ht="24">
      <c r="A276" s="94" t="s">
        <v>203</v>
      </c>
      <c r="B276" s="105" t="str">
        <f>[6]ORÇAMENTO!P300</f>
        <v>SINAPI-I</v>
      </c>
      <c r="C276" s="105">
        <f>[6]ORÇAMENTO!Q300</f>
        <v>43435</v>
      </c>
      <c r="D276" s="106" t="str">
        <f>[6]ORÇAMENTO!R300</f>
        <v>CAIXA DE CONCRETO ARMADO PRE-MOLDADO, COM FUNDO E SEM TAMPA, DIMENSOES DE 0,40 X 0,40 X 0,40 M</v>
      </c>
      <c r="E276" s="16" t="str">
        <f>[6]ORÇAMENTO!S300</f>
        <v>UN</v>
      </c>
      <c r="F276" s="17">
        <f>[6]ORÇAMENTO!T300</f>
        <v>5</v>
      </c>
      <c r="G276" s="17">
        <f>[6]ORÇAMENTO!U300</f>
        <v>236.17</v>
      </c>
      <c r="H276" s="17">
        <f>[6]ORÇAMENTO!W300</f>
        <v>292.17</v>
      </c>
      <c r="I276" s="95">
        <f>[6]ORÇAMENTO!X300</f>
        <v>1460.85</v>
      </c>
    </row>
    <row r="277" spans="1:11" s="116" customFormat="1">
      <c r="A277" s="117">
        <v>15</v>
      </c>
      <c r="B277" s="118"/>
      <c r="C277" s="118"/>
      <c r="D277" s="119" t="str">
        <f>[6]ORÇAMENTO!R301</f>
        <v>INSTALAÇÕES DE REDE ESTRUTURADA</v>
      </c>
      <c r="E277" s="120"/>
      <c r="F277" s="121"/>
      <c r="G277" s="121"/>
      <c r="H277" s="121"/>
      <c r="I277" s="122">
        <f>[6]ORÇAMENTO!X301</f>
        <v>47209.13</v>
      </c>
      <c r="J277" s="115"/>
      <c r="K277" s="115"/>
    </row>
    <row r="278" spans="1:11" s="116" customFormat="1">
      <c r="A278" s="117" t="s">
        <v>204</v>
      </c>
      <c r="B278" s="118"/>
      <c r="C278" s="118"/>
      <c r="D278" s="119" t="str">
        <f>[6]ORÇAMENTO!R302</f>
        <v>EQUIPAMENTOS PASSIVOS</v>
      </c>
      <c r="E278" s="120"/>
      <c r="F278" s="121"/>
      <c r="G278" s="121"/>
      <c r="H278" s="121"/>
      <c r="I278" s="122">
        <f>[6]ORÇAMENTO!X302</f>
        <v>8898.0400000000009</v>
      </c>
      <c r="J278" s="115"/>
      <c r="K278" s="115"/>
    </row>
    <row r="279" spans="1:11" ht="24">
      <c r="A279" s="94" t="s">
        <v>304</v>
      </c>
      <c r="B279" s="105" t="str">
        <f>[6]ORÇAMENTO!P303</f>
        <v>SINAPI</v>
      </c>
      <c r="C279" s="105" t="str">
        <f>[6]ORÇAMENTO!Q303</f>
        <v>98301</v>
      </c>
      <c r="D279" s="106" t="str">
        <f>[6]ORÇAMENTO!R303</f>
        <v>PATCH PANEL 24 PORTAS, CATEGORIA 5E - FORNECIMENTO E INSTALAÇÃO. AF_08/2025</v>
      </c>
      <c r="E279" s="16" t="str">
        <f>[6]ORÇAMENTO!S303</f>
        <v>UN</v>
      </c>
      <c r="F279" s="17">
        <f>[6]ORÇAMENTO!T303</f>
        <v>2</v>
      </c>
      <c r="G279" s="17">
        <f>[6]ORÇAMENTO!U303</f>
        <v>634.19000000000005</v>
      </c>
      <c r="H279" s="17">
        <f>[6]ORÇAMENTO!W303</f>
        <v>784.56</v>
      </c>
      <c r="I279" s="95">
        <f>[6]ORÇAMENTO!X303</f>
        <v>1569.12</v>
      </c>
    </row>
    <row r="280" spans="1:11">
      <c r="A280" s="94" t="s">
        <v>305</v>
      </c>
      <c r="B280" s="105" t="str">
        <f>[6]ORÇAMENTO!P304</f>
        <v>Cotação</v>
      </c>
      <c r="C280" s="105" t="str">
        <f>[6]ORÇAMENTO!Q304</f>
        <v>05</v>
      </c>
      <c r="D280" s="106" t="str">
        <f>[6]ORÇAMENTO!R304</f>
        <v>SWITCH DE 48 PORTAS</v>
      </c>
      <c r="E280" s="16" t="str">
        <f>[6]ORÇAMENTO!S304</f>
        <v>UN</v>
      </c>
      <c r="F280" s="17">
        <f>[6]ORÇAMENTO!T304</f>
        <v>1</v>
      </c>
      <c r="G280" s="17">
        <f>[6]ORÇAMENTO!U304</f>
        <v>4043</v>
      </c>
      <c r="H280" s="17">
        <f>[6]ORÇAMENTO!W304</f>
        <v>5001.6000000000004</v>
      </c>
      <c r="I280" s="95">
        <f>[6]ORÇAMENTO!X304</f>
        <v>5001.6000000000004</v>
      </c>
    </row>
    <row r="281" spans="1:11">
      <c r="A281" s="94" t="s">
        <v>306</v>
      </c>
      <c r="B281" s="105" t="str">
        <f>[6]ORÇAMENTO!P305</f>
        <v>Cotação</v>
      </c>
      <c r="C281" s="105" t="str">
        <f>[6]ORÇAMENTO!Q305</f>
        <v>06</v>
      </c>
      <c r="D281" s="106" t="str">
        <f>[6]ORÇAMENTO!R305</f>
        <v>GUIA DE CABOS</v>
      </c>
      <c r="E281" s="16" t="str">
        <f>[6]ORÇAMENTO!S305</f>
        <v>UN</v>
      </c>
      <c r="F281" s="17">
        <f>[6]ORÇAMENTO!T305</f>
        <v>2</v>
      </c>
      <c r="G281" s="17">
        <f>[6]ORÇAMENTO!U305</f>
        <v>81.78</v>
      </c>
      <c r="H281" s="17">
        <f>[6]ORÇAMENTO!W305</f>
        <v>101.17</v>
      </c>
      <c r="I281" s="95">
        <f>[6]ORÇAMENTO!X305</f>
        <v>202.34</v>
      </c>
    </row>
    <row r="282" spans="1:11">
      <c r="A282" s="94" t="s">
        <v>307</v>
      </c>
      <c r="B282" s="105" t="str">
        <f>[6]ORÇAMENTO!P306</f>
        <v>Cotação</v>
      </c>
      <c r="C282" s="105" t="str">
        <f>[6]ORÇAMENTO!Q306</f>
        <v>06</v>
      </c>
      <c r="D282" s="106" t="str">
        <f>[6]ORÇAMENTO!R306</f>
        <v>GUIA DE CABOS</v>
      </c>
      <c r="E282" s="16" t="str">
        <f>[6]ORÇAMENTO!S306</f>
        <v>UN</v>
      </c>
      <c r="F282" s="17">
        <f>[6]ORÇAMENTO!T306</f>
        <v>1</v>
      </c>
      <c r="G282" s="17">
        <f>[6]ORÇAMENTO!U306</f>
        <v>81.78</v>
      </c>
      <c r="H282" s="17">
        <f>[6]ORÇAMENTO!W306</f>
        <v>101.17</v>
      </c>
      <c r="I282" s="95">
        <f>[6]ORÇAMENTO!X306</f>
        <v>101.17</v>
      </c>
    </row>
    <row r="283" spans="1:11">
      <c r="A283" s="94" t="s">
        <v>308</v>
      </c>
      <c r="B283" s="105" t="str">
        <f>[6]ORÇAMENTO!P307</f>
        <v>Cotação</v>
      </c>
      <c r="C283" s="105" t="str">
        <f>[6]ORÇAMENTO!Q307</f>
        <v>06</v>
      </c>
      <c r="D283" s="106" t="str">
        <f>[6]ORÇAMENTO!R307</f>
        <v>GUIA DE CABOS</v>
      </c>
      <c r="E283" s="16" t="str">
        <f>[6]ORÇAMENTO!S307</f>
        <v>UN</v>
      </c>
      <c r="F283" s="17">
        <f>[6]ORÇAMENTO!T307</f>
        <v>2</v>
      </c>
      <c r="G283" s="17">
        <f>[6]ORÇAMENTO!U307</f>
        <v>81.78</v>
      </c>
      <c r="H283" s="17">
        <f>[6]ORÇAMENTO!W307</f>
        <v>101.17</v>
      </c>
      <c r="I283" s="95">
        <f>[6]ORÇAMENTO!X307</f>
        <v>202.34</v>
      </c>
    </row>
    <row r="284" spans="1:11">
      <c r="A284" s="94" t="s">
        <v>309</v>
      </c>
      <c r="B284" s="105" t="str">
        <f>[6]ORÇAMENTO!P308</f>
        <v>Cotação</v>
      </c>
      <c r="C284" s="105" t="str">
        <f>[6]ORÇAMENTO!Q308</f>
        <v>06</v>
      </c>
      <c r="D284" s="106" t="str">
        <f>[6]ORÇAMENTO!R308</f>
        <v>GUIA DE CABOS</v>
      </c>
      <c r="E284" s="16" t="str">
        <f>[6]ORÇAMENTO!S308</f>
        <v>UN</v>
      </c>
      <c r="F284" s="17">
        <f>[6]ORÇAMENTO!T308</f>
        <v>1</v>
      </c>
      <c r="G284" s="17">
        <f>[6]ORÇAMENTO!U308</f>
        <v>81.78</v>
      </c>
      <c r="H284" s="17">
        <f>[6]ORÇAMENTO!W308</f>
        <v>101.17</v>
      </c>
      <c r="I284" s="95">
        <f>[6]ORÇAMENTO!X308</f>
        <v>101.17</v>
      </c>
    </row>
    <row r="285" spans="1:11">
      <c r="A285" s="94" t="s">
        <v>310</v>
      </c>
      <c r="B285" s="105" t="str">
        <f>[6]ORÇAMENTO!P309</f>
        <v>Cotação</v>
      </c>
      <c r="C285" s="105" t="str">
        <f>[6]ORÇAMENTO!Q309</f>
        <v>07</v>
      </c>
      <c r="D285" s="106" t="str">
        <f>[6]ORÇAMENTO!R309</f>
        <v>PERFIL DE MONTAGEM</v>
      </c>
      <c r="E285" s="16" t="str">
        <f>[6]ORÇAMENTO!S309</f>
        <v>UN</v>
      </c>
      <c r="F285" s="17">
        <f>[6]ORÇAMENTO!T309</f>
        <v>1</v>
      </c>
      <c r="G285" s="17">
        <f>[6]ORÇAMENTO!U309</f>
        <v>237.72</v>
      </c>
      <c r="H285" s="17">
        <f>[6]ORÇAMENTO!W309</f>
        <v>294.08</v>
      </c>
      <c r="I285" s="95">
        <f>[6]ORÇAMENTO!X309</f>
        <v>294.08</v>
      </c>
    </row>
    <row r="286" spans="1:11">
      <c r="A286" s="94" t="s">
        <v>311</v>
      </c>
      <c r="B286" s="105" t="str">
        <f>[6]ORÇAMENTO!P310</f>
        <v>Cotação</v>
      </c>
      <c r="C286" s="105" t="str">
        <f>[6]ORÇAMENTO!Q310</f>
        <v>08</v>
      </c>
      <c r="D286" s="106" t="str">
        <f>[6]ORÇAMENTO!R310</f>
        <v>ORGANIZADOR DE CABOS</v>
      </c>
      <c r="E286" s="16" t="str">
        <f>[6]ORÇAMENTO!S310</f>
        <v>UN</v>
      </c>
      <c r="F286" s="17">
        <f>[6]ORÇAMENTO!T310</f>
        <v>2</v>
      </c>
      <c r="G286" s="17">
        <f>[6]ORÇAMENTO!U310</f>
        <v>27.13</v>
      </c>
      <c r="H286" s="17">
        <f>[6]ORÇAMENTO!W310</f>
        <v>33.56</v>
      </c>
      <c r="I286" s="95">
        <f>[6]ORÇAMENTO!X310</f>
        <v>67.12</v>
      </c>
    </row>
    <row r="287" spans="1:11">
      <c r="A287" s="94" t="s">
        <v>312</v>
      </c>
      <c r="B287" s="105" t="str">
        <f>[6]ORÇAMENTO!P311</f>
        <v>Cotação</v>
      </c>
      <c r="C287" s="105" t="str">
        <f>[6]ORÇAMENTO!Q311</f>
        <v>09</v>
      </c>
      <c r="D287" s="106" t="str">
        <f>[6]ORÇAMENTO!R311</f>
        <v>BANDEJA DESLIZANTE PERFURADA</v>
      </c>
      <c r="E287" s="16" t="str">
        <f>[6]ORÇAMENTO!S311</f>
        <v>UN</v>
      </c>
      <c r="F287" s="17">
        <f>[6]ORÇAMENTO!T311</f>
        <v>2</v>
      </c>
      <c r="G287" s="17">
        <f>[6]ORÇAMENTO!U311</f>
        <v>74.23</v>
      </c>
      <c r="H287" s="17">
        <f>[6]ORÇAMENTO!W311</f>
        <v>91.83</v>
      </c>
      <c r="I287" s="95">
        <f>[6]ORÇAMENTO!X311</f>
        <v>183.66</v>
      </c>
    </row>
    <row r="288" spans="1:11">
      <c r="A288" s="94" t="s">
        <v>313</v>
      </c>
      <c r="B288" s="105" t="str">
        <f>[6]ORÇAMENTO!P312</f>
        <v>Cotação</v>
      </c>
      <c r="C288" s="105" t="str">
        <f>[6]ORÇAMENTO!Q312</f>
        <v>10</v>
      </c>
      <c r="D288" s="106" t="str">
        <f>[6]ORÇAMENTO!R312</f>
        <v>MINI RACK</v>
      </c>
      <c r="E288" s="16" t="str">
        <f>[6]ORÇAMENTO!S312</f>
        <v>UN</v>
      </c>
      <c r="F288" s="17">
        <f>[6]ORÇAMENTO!T312</f>
        <v>1</v>
      </c>
      <c r="G288" s="17">
        <f>[6]ORÇAMENTO!U312</f>
        <v>530.16</v>
      </c>
      <c r="H288" s="17">
        <f>[6]ORÇAMENTO!W312</f>
        <v>655.86</v>
      </c>
      <c r="I288" s="95">
        <f>[6]ORÇAMENTO!X312</f>
        <v>655.86</v>
      </c>
    </row>
    <row r="289" spans="1:11">
      <c r="A289" s="94" t="s">
        <v>314</v>
      </c>
      <c r="B289" s="105" t="str">
        <f>[6]ORÇAMENTO!P313</f>
        <v>Cotação</v>
      </c>
      <c r="C289" s="105" t="str">
        <f>[6]ORÇAMENTO!Q313</f>
        <v>11</v>
      </c>
      <c r="D289" s="106" t="str">
        <f>[6]ORÇAMENTO!R313</f>
        <v>ACESS POINT WIRELESS 2.4GHZ 300MPBS</v>
      </c>
      <c r="E289" s="16" t="str">
        <f>[6]ORÇAMENTO!S313</f>
        <v>UN</v>
      </c>
      <c r="F289" s="17">
        <f>[6]ORÇAMENTO!T313</f>
        <v>1</v>
      </c>
      <c r="G289" s="17">
        <f>[6]ORÇAMENTO!U313</f>
        <v>420</v>
      </c>
      <c r="H289" s="17">
        <f>[6]ORÇAMENTO!W313</f>
        <v>519.58000000000004</v>
      </c>
      <c r="I289" s="95">
        <f>[6]ORÇAMENTO!X313</f>
        <v>519.58000000000004</v>
      </c>
    </row>
    <row r="290" spans="1:11" s="116" customFormat="1">
      <c r="A290" s="117" t="s">
        <v>205</v>
      </c>
      <c r="B290" s="118"/>
      <c r="C290" s="118"/>
      <c r="D290" s="119" t="str">
        <f>[6]ORÇAMENTO!R314</f>
        <v>CABOS EM PAR TRANÇADOS</v>
      </c>
      <c r="E290" s="120"/>
      <c r="F290" s="121"/>
      <c r="G290" s="121"/>
      <c r="H290" s="121"/>
      <c r="I290" s="122">
        <f>[6]ORÇAMENTO!X314</f>
        <v>18097.400000000001</v>
      </c>
      <c r="J290" s="115"/>
      <c r="K290" s="115"/>
    </row>
    <row r="291" spans="1:11" ht="24">
      <c r="A291" s="94" t="s">
        <v>315</v>
      </c>
      <c r="B291" s="105" t="str">
        <f>[6]ORÇAMENTO!P315</f>
        <v>SINAPI</v>
      </c>
      <c r="C291" s="105" t="str">
        <f>[6]ORÇAMENTO!Q315</f>
        <v>98294</v>
      </c>
      <c r="D291" s="106" t="str">
        <f>[6]ORÇAMENTO!R315</f>
        <v>CABO ELETRÔNICO CATEGORIA 5E, INSTALADO EM EDIFICAÇÃO RESIDENCIAL - FORNECIMENTO E INSTALAÇÃO. AF_08/2025</v>
      </c>
      <c r="E291" s="16" t="str">
        <f>[6]ORÇAMENTO!S315</f>
        <v>M</v>
      </c>
      <c r="F291" s="17">
        <f>[6]ORÇAMENTO!T315</f>
        <v>980.3</v>
      </c>
      <c r="G291" s="17">
        <f>[6]ORÇAMENTO!U315</f>
        <v>8.4700000000000006</v>
      </c>
      <c r="H291" s="17">
        <f>[6]ORÇAMENTO!W315</f>
        <v>10.48</v>
      </c>
      <c r="I291" s="95">
        <f>[6]ORÇAMENTO!X315</f>
        <v>10273.540000000001</v>
      </c>
    </row>
    <row r="292" spans="1:11">
      <c r="A292" s="94" t="s">
        <v>316</v>
      </c>
      <c r="B292" s="105" t="str">
        <f>[6]ORÇAMENTO!P316</f>
        <v>SINAPI</v>
      </c>
      <c r="C292" s="105" t="str">
        <f>[6]ORÇAMENTO!Q316</f>
        <v>100553</v>
      </c>
      <c r="D292" s="106" t="str">
        <f>[6]ORÇAMENTO!R316</f>
        <v>CABO COAXIAL RG11 95% - FORNECIMENTO E INSTALAÇÃO. AF_08/2025</v>
      </c>
      <c r="E292" s="16" t="str">
        <f>[6]ORÇAMENTO!S316</f>
        <v>M</v>
      </c>
      <c r="F292" s="17">
        <f>[6]ORÇAMENTO!T316</f>
        <v>242</v>
      </c>
      <c r="G292" s="17">
        <f>[6]ORÇAMENTO!U316</f>
        <v>26.13</v>
      </c>
      <c r="H292" s="17">
        <f>[6]ORÇAMENTO!W316</f>
        <v>32.33</v>
      </c>
      <c r="I292" s="95">
        <f>[6]ORÇAMENTO!X316</f>
        <v>7823.86</v>
      </c>
    </row>
    <row r="293" spans="1:11" s="116" customFormat="1">
      <c r="A293" s="117" t="s">
        <v>206</v>
      </c>
      <c r="B293" s="118"/>
      <c r="C293" s="118"/>
      <c r="D293" s="119" t="str">
        <f>[6]ORÇAMENTO!R317</f>
        <v>CABOS DE CONEXÃO</v>
      </c>
      <c r="E293" s="120"/>
      <c r="F293" s="121"/>
      <c r="G293" s="121"/>
      <c r="H293" s="121"/>
      <c r="I293" s="122">
        <f>[6]ORÇAMENTO!X317</f>
        <v>334.97</v>
      </c>
      <c r="J293" s="115"/>
      <c r="K293" s="115"/>
    </row>
    <row r="294" spans="1:11" ht="24">
      <c r="A294" s="94" t="s">
        <v>317</v>
      </c>
      <c r="B294" s="105" t="str">
        <f>[6]ORÇAMENTO!P318</f>
        <v>SINAPI-I</v>
      </c>
      <c r="C294" s="105">
        <f>[6]ORÇAMENTO!Q318</f>
        <v>39605</v>
      </c>
      <c r="D294" s="106" t="str">
        <f>[6]ORÇAMENTO!R318</f>
        <v>PATCH CORD (CABO DE REDE), CATEGORIA 5 E (CAT 5E) UTP, 24 AWG, 4 PARES, EXTENSAO DE 2,50 M</v>
      </c>
      <c r="E294" s="16" t="str">
        <f>[6]ORÇAMENTO!S318</f>
        <v>UN</v>
      </c>
      <c r="F294" s="17">
        <f>[6]ORÇAMENTO!T318</f>
        <v>19</v>
      </c>
      <c r="G294" s="17">
        <f>[6]ORÇAMENTO!U318</f>
        <v>14.25</v>
      </c>
      <c r="H294" s="17">
        <f>[6]ORÇAMENTO!W318</f>
        <v>17.63</v>
      </c>
      <c r="I294" s="95">
        <f>[6]ORÇAMENTO!X318</f>
        <v>334.97</v>
      </c>
    </row>
    <row r="295" spans="1:11" s="116" customFormat="1">
      <c r="A295" s="117" t="s">
        <v>207</v>
      </c>
      <c r="B295" s="118"/>
      <c r="C295" s="118"/>
      <c r="D295" s="119" t="str">
        <f>[6]ORÇAMENTO!R319</f>
        <v>TOMADAS</v>
      </c>
      <c r="E295" s="120"/>
      <c r="F295" s="121"/>
      <c r="G295" s="121"/>
      <c r="H295" s="121"/>
      <c r="I295" s="122">
        <f>[6]ORÇAMENTO!X319</f>
        <v>12944.47</v>
      </c>
      <c r="J295" s="115"/>
      <c r="K295" s="115"/>
    </row>
    <row r="296" spans="1:11">
      <c r="A296" s="94" t="s">
        <v>318</v>
      </c>
      <c r="B296" s="105" t="str">
        <f>[6]ORÇAMENTO!P320</f>
        <v>SINAPI</v>
      </c>
      <c r="C296" s="105" t="str">
        <f>[6]ORÇAMENTO!Q320</f>
        <v>98307</v>
      </c>
      <c r="D296" s="106" t="str">
        <f>[6]ORÇAMENTO!R320</f>
        <v>TOMADA DE REDE RJ45 - FORNECIMENTO E INSTALAÇÃO. AF_08/2025</v>
      </c>
      <c r="E296" s="16" t="str">
        <f>[6]ORÇAMENTO!S320</f>
        <v>UN</v>
      </c>
      <c r="F296" s="17">
        <f>[6]ORÇAMENTO!T320</f>
        <v>19</v>
      </c>
      <c r="G296" s="17">
        <f>[6]ORÇAMENTO!U320</f>
        <v>65.36</v>
      </c>
      <c r="H296" s="17">
        <f>[6]ORÇAMENTO!W320</f>
        <v>80.86</v>
      </c>
      <c r="I296" s="95">
        <f>[6]ORÇAMENTO!X320</f>
        <v>1536.34</v>
      </c>
    </row>
    <row r="297" spans="1:11" ht="24">
      <c r="A297" s="94" t="s">
        <v>319</v>
      </c>
      <c r="B297" s="105" t="str">
        <f>[6]ORÇAMENTO!P321</f>
        <v>SINAPI-I</v>
      </c>
      <c r="C297" s="105" t="str">
        <f>[6]ORÇAMENTO!Q321</f>
        <v>38084</v>
      </c>
      <c r="D297" s="106" t="str">
        <f>[6]ORÇAMENTO!R321</f>
        <v>TOMADA PARA ANTENA DE TV, CABO COAXIAL DE 9 MM, CONJUNTO MONTADO PARA EMBUTIR 4" X 2" (PLACA + SUPORTE + MODULO)</v>
      </c>
      <c r="E297" s="16" t="str">
        <f>[6]ORÇAMENTO!S321</f>
        <v>UN</v>
      </c>
      <c r="F297" s="17">
        <f>[6]ORÇAMENTO!T321</f>
        <v>8</v>
      </c>
      <c r="G297" s="17">
        <f>[6]ORÇAMENTO!U321</f>
        <v>18.86</v>
      </c>
      <c r="H297" s="17">
        <f>[6]ORÇAMENTO!W321</f>
        <v>23.33</v>
      </c>
      <c r="I297" s="95">
        <f>[6]ORÇAMENTO!X321</f>
        <v>186.64</v>
      </c>
    </row>
    <row r="298" spans="1:11">
      <c r="A298" s="94" t="s">
        <v>320</v>
      </c>
      <c r="B298" s="105" t="str">
        <f>[6]ORÇAMENTO!P322</f>
        <v>Cotação</v>
      </c>
      <c r="C298" s="105" t="str">
        <f>[6]ORÇAMENTO!Q322</f>
        <v>12</v>
      </c>
      <c r="D298" s="106" t="str">
        <f>[6]ORÇAMENTO!R322</f>
        <v>CENTRAL PABX 24 PORTAS</v>
      </c>
      <c r="E298" s="16" t="str">
        <f>[6]ORÇAMENTO!S322</f>
        <v xml:space="preserve">UN    </v>
      </c>
      <c r="F298" s="17">
        <f>[6]ORÇAMENTO!T322</f>
        <v>1</v>
      </c>
      <c r="G298" s="17">
        <f>[6]ORÇAMENTO!U322</f>
        <v>9070.7999999999993</v>
      </c>
      <c r="H298" s="17">
        <f>[6]ORÇAMENTO!W322</f>
        <v>11221.49</v>
      </c>
      <c r="I298" s="95">
        <f>[6]ORÇAMENTO!X322</f>
        <v>11221.49</v>
      </c>
    </row>
    <row r="299" spans="1:11" s="116" customFormat="1">
      <c r="A299" s="117" t="s">
        <v>208</v>
      </c>
      <c r="B299" s="118"/>
      <c r="C299" s="118"/>
      <c r="D299" s="119" t="str">
        <f>[6]ORÇAMENTO!R323</f>
        <v>CAIXAS E ACESSÓRIOS</v>
      </c>
      <c r="E299" s="120"/>
      <c r="F299" s="121"/>
      <c r="G299" s="121"/>
      <c r="H299" s="121"/>
      <c r="I299" s="122">
        <f>[6]ORÇAMENTO!X323</f>
        <v>231.74</v>
      </c>
      <c r="J299" s="115"/>
      <c r="K299" s="115"/>
    </row>
    <row r="300" spans="1:11" ht="24">
      <c r="A300" s="94" t="s">
        <v>321</v>
      </c>
      <c r="B300" s="105" t="str">
        <f>[6]ORÇAMENTO!P324</f>
        <v>SINAPI</v>
      </c>
      <c r="C300" s="105" t="str">
        <f>[6]ORÇAMENTO!Q324</f>
        <v>100556</v>
      </c>
      <c r="D300" s="106" t="str">
        <f>[6]ORÇAMENTO!R324</f>
        <v>CAIXA DE PASSAGEM PARA TELEFONE 15X15X10CM (SOBREPOR) - FORNECIMENTO E INSTALAÇÃO. AF_08/2025</v>
      </c>
      <c r="E300" s="16" t="str">
        <f>[6]ORÇAMENTO!S324</f>
        <v>UN</v>
      </c>
      <c r="F300" s="17">
        <f>[6]ORÇAMENTO!T324</f>
        <v>2</v>
      </c>
      <c r="G300" s="17">
        <f>[6]ORÇAMENTO!U324</f>
        <v>35</v>
      </c>
      <c r="H300" s="17">
        <f>[6]ORÇAMENTO!W324</f>
        <v>43.3</v>
      </c>
      <c r="I300" s="95">
        <f>[6]ORÇAMENTO!X324</f>
        <v>86.6</v>
      </c>
    </row>
    <row r="301" spans="1:11" ht="24">
      <c r="A301" s="94" t="s">
        <v>322</v>
      </c>
      <c r="B301" s="105" t="str">
        <f>[6]ORÇAMENTO!P325</f>
        <v>SINAPI-I</v>
      </c>
      <c r="C301" s="105" t="str">
        <f>[6]ORÇAMENTO!Q325</f>
        <v>1872</v>
      </c>
      <c r="D301" s="106" t="str">
        <f>[6]ORÇAMENTO!R325</f>
        <v>CAIXA DE PASSAGEM, EM PVC, DE 4" X 2", PARA ELETRODUTO FLEXIVEL CORRUGADO</v>
      </c>
      <c r="E301" s="16" t="str">
        <f>[6]ORÇAMENTO!S325</f>
        <v>UN</v>
      </c>
      <c r="F301" s="17">
        <f>[6]ORÇAMENTO!T325</f>
        <v>41</v>
      </c>
      <c r="G301" s="17">
        <f>[6]ORÇAMENTO!U325</f>
        <v>2.86</v>
      </c>
      <c r="H301" s="17">
        <f>[6]ORÇAMENTO!W325</f>
        <v>3.54</v>
      </c>
      <c r="I301" s="95">
        <f>[6]ORÇAMENTO!X325</f>
        <v>145.13999999999999</v>
      </c>
    </row>
    <row r="302" spans="1:11" s="116" customFormat="1">
      <c r="A302" s="117" t="s">
        <v>209</v>
      </c>
      <c r="B302" s="118"/>
      <c r="C302" s="118"/>
      <c r="D302" s="119" t="str">
        <f>[6]ORÇAMENTO!R326</f>
        <v>ELETRODUTOS E ACESSÓRIOS</v>
      </c>
      <c r="E302" s="120"/>
      <c r="F302" s="121"/>
      <c r="G302" s="121"/>
      <c r="H302" s="121"/>
      <c r="I302" s="122">
        <f>[6]ORÇAMENTO!X326</f>
        <v>6702.51</v>
      </c>
      <c r="J302" s="115"/>
      <c r="K302" s="115"/>
    </row>
    <row r="303" spans="1:11" ht="36">
      <c r="A303" s="94" t="s">
        <v>323</v>
      </c>
      <c r="B303" s="105" t="str">
        <f>[6]ORÇAMENTO!P327</f>
        <v>SINAPI</v>
      </c>
      <c r="C303" s="105" t="str">
        <f>[6]ORÇAMENTO!Q327</f>
        <v>91836</v>
      </c>
      <c r="D303" s="106" t="str">
        <f>[6]ORÇAMENTO!R327</f>
        <v>ELETRODUTO FLEXÍVEL CORRUGADO, PVC, DN 32 MM (1"), PARA CIRCUITOS TERMINAIS, INSTALADO EM FORRO - FORNECIMENTO E INSTALAÇÃO. AF_03/2023</v>
      </c>
      <c r="E303" s="16" t="str">
        <f>[6]ORÇAMENTO!S327</f>
        <v>M</v>
      </c>
      <c r="F303" s="17">
        <f>[6]ORÇAMENTO!T327</f>
        <v>1.3</v>
      </c>
      <c r="G303" s="17">
        <f>[6]ORÇAMENTO!U327</f>
        <v>24.2</v>
      </c>
      <c r="H303" s="17">
        <f>[6]ORÇAMENTO!W327</f>
        <v>29.94</v>
      </c>
      <c r="I303" s="95">
        <f>[6]ORÇAMENTO!X327</f>
        <v>38.92</v>
      </c>
    </row>
    <row r="304" spans="1:11" ht="36">
      <c r="A304" s="94" t="s">
        <v>324</v>
      </c>
      <c r="B304" s="105" t="str">
        <f>[6]ORÇAMENTO!P328</f>
        <v>SINAPI</v>
      </c>
      <c r="C304" s="105" t="str">
        <f>[6]ORÇAMENTO!Q328</f>
        <v>91834</v>
      </c>
      <c r="D304" s="106" t="str">
        <f>[6]ORÇAMENTO!R328</f>
        <v>ELETRODUTO FLEXÍVEL CORRUGADO, PVC, DN 25 MM (3/4"), PARA CIRCUITOS TERMINAIS, INSTALADO EM FORRO - FORNECIMENTO E INSTALAÇÃO. AF_03/2023</v>
      </c>
      <c r="E304" s="16" t="str">
        <f>[6]ORÇAMENTO!S328</f>
        <v>M</v>
      </c>
      <c r="F304" s="17">
        <f>[6]ORÇAMENTO!T328</f>
        <v>219.8</v>
      </c>
      <c r="G304" s="17">
        <f>[6]ORÇAMENTO!U328</f>
        <v>20.65</v>
      </c>
      <c r="H304" s="17">
        <f>[6]ORÇAMENTO!W328</f>
        <v>25.55</v>
      </c>
      <c r="I304" s="95">
        <f>[6]ORÇAMENTO!X328</f>
        <v>5615.89</v>
      </c>
    </row>
    <row r="305" spans="1:11">
      <c r="A305" s="94" t="s">
        <v>325</v>
      </c>
      <c r="B305" s="105" t="str">
        <f>[6]ORÇAMENTO!P329</f>
        <v>SINAPI-I</v>
      </c>
      <c r="C305" s="105">
        <f>[6]ORÇAMENTO!Q329</f>
        <v>2680</v>
      </c>
      <c r="D305" s="106" t="str">
        <f>[6]ORÇAMENTO!R329</f>
        <v>ELETRODUTO DE PVC RIGIDO ROSCAVEL DE 1 1/2", SEM LUVA</v>
      </c>
      <c r="E305" s="16" t="str">
        <f>[6]ORÇAMENTO!S329</f>
        <v>M</v>
      </c>
      <c r="F305" s="17">
        <f>[6]ORÇAMENTO!T329</f>
        <v>4</v>
      </c>
      <c r="G305" s="17">
        <f>[6]ORÇAMENTO!U329</f>
        <v>15.26</v>
      </c>
      <c r="H305" s="17">
        <f>[6]ORÇAMENTO!W329</f>
        <v>18.88</v>
      </c>
      <c r="I305" s="95">
        <f>[6]ORÇAMENTO!X329</f>
        <v>75.52</v>
      </c>
    </row>
    <row r="306" spans="1:11">
      <c r="A306" s="94" t="s">
        <v>326</v>
      </c>
      <c r="B306" s="105" t="str">
        <f>[6]ORÇAMENTO!P330</f>
        <v>SINAPI-I</v>
      </c>
      <c r="C306" s="105">
        <f>[6]ORÇAMENTO!Q330</f>
        <v>39028</v>
      </c>
      <c r="D306" s="106" t="str">
        <f>[6]ORÇAMENTO!R330</f>
        <v>PERFILADO PERFURADO SIMPLES 38 X 38 MM, CHAPA 22</v>
      </c>
      <c r="E306" s="16" t="str">
        <f>[6]ORÇAMENTO!S330</f>
        <v>M</v>
      </c>
      <c r="F306" s="17">
        <f>[6]ORÇAMENTO!T330</f>
        <v>90.1</v>
      </c>
      <c r="G306" s="17">
        <f>[6]ORÇAMENTO!U330</f>
        <v>8.7200000000000006</v>
      </c>
      <c r="H306" s="17">
        <f>[6]ORÇAMENTO!W330</f>
        <v>10.79</v>
      </c>
      <c r="I306" s="95">
        <f>[6]ORÇAMENTO!X330</f>
        <v>972.18</v>
      </c>
    </row>
    <row r="307" spans="1:11" s="116" customFormat="1">
      <c r="A307" s="117">
        <v>16</v>
      </c>
      <c r="B307" s="118"/>
      <c r="C307" s="118"/>
      <c r="D307" s="119" t="str">
        <f>[6]ORÇAMENTO!R331</f>
        <v>SISTEMA DE EXAUSTÃO MECÂNICA</v>
      </c>
      <c r="E307" s="120"/>
      <c r="F307" s="121"/>
      <c r="G307" s="121"/>
      <c r="H307" s="121"/>
      <c r="I307" s="122">
        <f>[6]ORÇAMENTO!X331</f>
        <v>17422.23</v>
      </c>
      <c r="J307" s="115"/>
      <c r="K307" s="115"/>
    </row>
    <row r="308" spans="1:11">
      <c r="A308" s="94" t="s">
        <v>210</v>
      </c>
      <c r="B308" s="105" t="str">
        <f>[6]ORÇAMENTO!P332</f>
        <v>Cotação</v>
      </c>
      <c r="C308" s="105" t="str">
        <f>[6]ORÇAMENTO!Q332</f>
        <v>13</v>
      </c>
      <c r="D308" s="106" t="str">
        <f>[6]ORÇAMENTO!R332</f>
        <v>COIFA DE CENTRO EM AÇO INOX</v>
      </c>
      <c r="E308" s="16" t="str">
        <f>[6]ORÇAMENTO!S332</f>
        <v>-</v>
      </c>
      <c r="F308" s="17">
        <f>[6]ORÇAMENTO!T332</f>
        <v>1</v>
      </c>
      <c r="G308" s="17">
        <f>[6]ORÇAMENTO!U332</f>
        <v>8902.26</v>
      </c>
      <c r="H308" s="17">
        <f>[6]ORÇAMENTO!W332</f>
        <v>11012.99</v>
      </c>
      <c r="I308" s="95">
        <f>[6]ORÇAMENTO!X332</f>
        <v>11012.99</v>
      </c>
    </row>
    <row r="309" spans="1:11">
      <c r="A309" s="94" t="s">
        <v>211</v>
      </c>
      <c r="B309" s="105" t="str">
        <f>[6]ORÇAMENTO!P333</f>
        <v>Cotação</v>
      </c>
      <c r="C309" s="105" t="str">
        <f>[6]ORÇAMENTO!Q333</f>
        <v>14</v>
      </c>
      <c r="D309" s="106" t="str">
        <f>[6]ORÇAMENTO!R333</f>
        <v>DUTO DE LIGAÇÃO 1000 X 0.80MM</v>
      </c>
      <c r="E309" s="16" t="str">
        <f>[6]ORÇAMENTO!S333</f>
        <v>-</v>
      </c>
      <c r="F309" s="17">
        <f>[6]ORÇAMENTO!T333</f>
        <v>5</v>
      </c>
      <c r="G309" s="17">
        <f>[6]ORÇAMENTO!U333</f>
        <v>210.87</v>
      </c>
      <c r="H309" s="17">
        <f>[6]ORÇAMENTO!W333</f>
        <v>260.87</v>
      </c>
      <c r="I309" s="95">
        <f>[6]ORÇAMENTO!X333</f>
        <v>1304.3499999999999</v>
      </c>
    </row>
    <row r="310" spans="1:11">
      <c r="A310" s="94" t="s">
        <v>212</v>
      </c>
      <c r="B310" s="105" t="str">
        <f>[6]ORÇAMENTO!P334</f>
        <v>Cotação</v>
      </c>
      <c r="C310" s="105" t="str">
        <f>[6]ORÇAMENTO!Q334</f>
        <v>15</v>
      </c>
      <c r="D310" s="106" t="str">
        <f>[6]ORÇAMENTO!R334</f>
        <v>CHAPÉU CHINÊS DE ALUMÍNIO</v>
      </c>
      <c r="E310" s="16" t="str">
        <f>[6]ORÇAMENTO!S334</f>
        <v>-</v>
      </c>
      <c r="F310" s="17">
        <f>[6]ORÇAMENTO!T334</f>
        <v>1</v>
      </c>
      <c r="G310" s="17">
        <f>[6]ORÇAMENTO!U334</f>
        <v>3822.2</v>
      </c>
      <c r="H310" s="17">
        <f>[6]ORÇAMENTO!W334</f>
        <v>4728.4399999999996</v>
      </c>
      <c r="I310" s="95">
        <f>[6]ORÇAMENTO!X334</f>
        <v>4728.4399999999996</v>
      </c>
    </row>
    <row r="311" spans="1:11">
      <c r="A311" s="94" t="s">
        <v>213</v>
      </c>
      <c r="B311" s="105" t="str">
        <f>[6]ORÇAMENTO!P335</f>
        <v>Cotação</v>
      </c>
      <c r="C311" s="105" t="str">
        <f>[6]ORÇAMENTO!Q335</f>
        <v>16</v>
      </c>
      <c r="D311" s="106" t="str">
        <f>[6]ORÇAMENTO!R335</f>
        <v>EXAUSTOR MECÂNICO PARA BANHEIRO 80M3/H COM DUTO FLEXÍVEL - KIT</v>
      </c>
      <c r="E311" s="16" t="str">
        <f>[6]ORÇAMENTO!S335</f>
        <v>-</v>
      </c>
      <c r="F311" s="17">
        <f>[6]ORÇAMENTO!T335</f>
        <v>1</v>
      </c>
      <c r="G311" s="17">
        <f>[6]ORÇAMENTO!U335</f>
        <v>304.3</v>
      </c>
      <c r="H311" s="17">
        <f>[6]ORÇAMENTO!W335</f>
        <v>376.45</v>
      </c>
      <c r="I311" s="95">
        <f>[6]ORÇAMENTO!X335</f>
        <v>376.45</v>
      </c>
    </row>
    <row r="312" spans="1:11" s="116" customFormat="1">
      <c r="A312" s="117">
        <v>17</v>
      </c>
      <c r="B312" s="118"/>
      <c r="C312" s="118"/>
      <c r="D312" s="119" t="str">
        <f>[6]ORÇAMENTO!R336</f>
        <v>SISTEMA DE PROTEÇÃO CONTRA DESCARGAS ATMOSFÉRICAS (SPDA)</v>
      </c>
      <c r="E312" s="120"/>
      <c r="F312" s="121"/>
      <c r="G312" s="121"/>
      <c r="H312" s="121"/>
      <c r="I312" s="122">
        <f>[6]ORÇAMENTO!X336</f>
        <v>76960.62</v>
      </c>
      <c r="J312" s="115"/>
      <c r="K312" s="115"/>
    </row>
    <row r="313" spans="1:11" ht="36">
      <c r="A313" s="94" t="s">
        <v>327</v>
      </c>
      <c r="B313" s="105" t="str">
        <f>[6]ORÇAMENTO!P337</f>
        <v>SINAPI-I</v>
      </c>
      <c r="C313" s="105" t="str">
        <f>[6]ORÇAMENTO!Q337</f>
        <v>4274</v>
      </c>
      <c r="D313" s="106" t="str">
        <f>[6]ORÇAMENTO!R337</f>
        <v>PARA-RAIOS TIPO FRANKLIN 350 MM, EM LATAO CROMADO, DUAS DESCIDAS, PARA PROTECAO DE EDIFICACOES CONTRA DESCARGAS ATMOSFERICAS</v>
      </c>
      <c r="E313" s="16" t="str">
        <f>[6]ORÇAMENTO!S337</f>
        <v>UN</v>
      </c>
      <c r="F313" s="17">
        <f>[6]ORÇAMENTO!T337</f>
        <v>3</v>
      </c>
      <c r="G313" s="17">
        <f>[6]ORÇAMENTO!U337</f>
        <v>137.6</v>
      </c>
      <c r="H313" s="17">
        <f>[6]ORÇAMENTO!W337</f>
        <v>170.22</v>
      </c>
      <c r="I313" s="95">
        <f>[6]ORÇAMENTO!X337</f>
        <v>510.66</v>
      </c>
    </row>
    <row r="314" spans="1:11" ht="24">
      <c r="A314" s="94" t="s">
        <v>327</v>
      </c>
      <c r="B314" s="105" t="str">
        <f>[6]ORÇAMENTO!P338</f>
        <v>SINAPI-I</v>
      </c>
      <c r="C314" s="105" t="str">
        <f>[6]ORÇAMENTO!Q338</f>
        <v>43054</v>
      </c>
      <c r="D314" s="106" t="str">
        <f>[6]ORÇAMENTO!R338</f>
        <v>ACO CA-25, 10,0 MM, OU 12,5 MM, OU 16,0 MM, OU 20,0 MM, OU 25,0 MM, VERGALHAO</v>
      </c>
      <c r="E314" s="16" t="str">
        <f>[6]ORÇAMENTO!S338</f>
        <v>KG</v>
      </c>
      <c r="F314" s="17">
        <f>[6]ORÇAMENTO!T338</f>
        <v>35</v>
      </c>
      <c r="G314" s="17">
        <f>[6]ORÇAMENTO!U338</f>
        <v>8.9499999999999993</v>
      </c>
      <c r="H314" s="17">
        <f>[6]ORÇAMENTO!W338</f>
        <v>11.07</v>
      </c>
      <c r="I314" s="95">
        <f>[6]ORÇAMENTO!X338</f>
        <v>387.45</v>
      </c>
    </row>
    <row r="315" spans="1:11" ht="36">
      <c r="A315" s="94" t="s">
        <v>327</v>
      </c>
      <c r="B315" s="105" t="str">
        <f>[6]ORÇAMENTO!P339</f>
        <v>SINAPI</v>
      </c>
      <c r="C315" s="105" t="str">
        <f>[6]ORÇAMENTO!Q339</f>
        <v>103893</v>
      </c>
      <c r="D315" s="106" t="str">
        <f>[6]ORÇAMENTO!R339</f>
        <v>CONECTOR EM BRONZE/LATÃO, DN 22 MM X 1/2", SEM ANEL DE SOLDA, BOLSA X ROSCA F, INSTALADO EM RAMAL E SUB-RAMAL DE AQUECIMENTO SOLAR - FORNECIMENTO E INSTALAÇÃO. AF_04/2022</v>
      </c>
      <c r="E315" s="16" t="str">
        <f>[6]ORÇAMENTO!S339</f>
        <v>UN</v>
      </c>
      <c r="F315" s="17">
        <f>[6]ORÇAMENTO!T339</f>
        <v>10</v>
      </c>
      <c r="G315" s="17">
        <f>[6]ORÇAMENTO!U339</f>
        <v>22.99</v>
      </c>
      <c r="H315" s="17">
        <f>[6]ORÇAMENTO!W339</f>
        <v>28.44</v>
      </c>
      <c r="I315" s="95">
        <f>[6]ORÇAMENTO!X339</f>
        <v>284.39999999999998</v>
      </c>
    </row>
    <row r="316" spans="1:11" ht="24">
      <c r="A316" s="94" t="s">
        <v>327</v>
      </c>
      <c r="B316" s="105" t="str">
        <f>[6]ORÇAMENTO!P340</f>
        <v>SINAPI-I</v>
      </c>
      <c r="C316" s="105" t="str">
        <f>[6]ORÇAMENTO!Q340</f>
        <v>11950</v>
      </c>
      <c r="D316" s="106" t="str">
        <f>[6]ORÇAMENTO!R340</f>
        <v>BUCHA DE NYLON SEM ABA S6, COM PARAFUSO DE 4,20 X 40 MM EM ACO ZINCADO COM ROSCA SOBERBA, CABECA CHATA E FENDA PHILLIPS</v>
      </c>
      <c r="E316" s="16" t="str">
        <f>[6]ORÇAMENTO!S340</f>
        <v>UN</v>
      </c>
      <c r="F316" s="17">
        <f>[6]ORÇAMENTO!T340</f>
        <v>20</v>
      </c>
      <c r="G316" s="17">
        <f>[6]ORÇAMENTO!U340</f>
        <v>0.41</v>
      </c>
      <c r="H316" s="17">
        <f>[6]ORÇAMENTO!W340</f>
        <v>0.51</v>
      </c>
      <c r="I316" s="95">
        <f>[6]ORÇAMENTO!X340</f>
        <v>10.199999999999999</v>
      </c>
    </row>
    <row r="317" spans="1:11" ht="24">
      <c r="A317" s="94" t="s">
        <v>327</v>
      </c>
      <c r="B317" s="105" t="str">
        <f>[6]ORÇAMENTO!P341</f>
        <v>SINAPI-I</v>
      </c>
      <c r="C317" s="105">
        <f>[6]ORÇAMENTO!Q341</f>
        <v>39141</v>
      </c>
      <c r="D317" s="106" t="str">
        <f>[6]ORÇAMENTO!R341</f>
        <v>ABRACADEIRA EM ACO PARA AMARRACAO DE ELETRODUTOS, TIPO U SIMPLES, COM 1 1/2"</v>
      </c>
      <c r="E317" s="16" t="str">
        <f>[6]ORÇAMENTO!S341</f>
        <v>UN</v>
      </c>
      <c r="F317" s="17">
        <f>[6]ORÇAMENTO!T341</f>
        <v>20</v>
      </c>
      <c r="G317" s="17">
        <f>[6]ORÇAMENTO!U341</f>
        <v>1.97</v>
      </c>
      <c r="H317" s="17">
        <f>[6]ORÇAMENTO!W341</f>
        <v>2.44</v>
      </c>
      <c r="I317" s="95">
        <f>[6]ORÇAMENTO!X341</f>
        <v>48.8</v>
      </c>
    </row>
    <row r="318" spans="1:11" ht="24">
      <c r="A318" s="94" t="s">
        <v>327</v>
      </c>
      <c r="B318" s="105" t="str">
        <f>[6]ORÇAMENTO!P342</f>
        <v>Composição</v>
      </c>
      <c r="C318" s="105" t="str">
        <f>[6]ORÇAMENTO!Q342</f>
        <v>047</v>
      </c>
      <c r="D318" s="106" t="str">
        <f>[6]ORÇAMENTO!R342</f>
        <v>CAIXA DE EQUILIZAÇÃO DE POTÊNCIAS 200X200MM EM AÇO COM BARRAMENTO, ESPESSURA 6MM</v>
      </c>
      <c r="E318" s="16" t="str">
        <f>[6]ORÇAMENTO!S342</f>
        <v xml:space="preserve">UN    </v>
      </c>
      <c r="F318" s="17">
        <f>[6]ORÇAMENTO!T342</f>
        <v>1</v>
      </c>
      <c r="G318" s="17">
        <f>[6]ORÇAMENTO!U342</f>
        <v>377.39</v>
      </c>
      <c r="H318" s="17">
        <f>[6]ORÇAMENTO!W342</f>
        <v>466.87</v>
      </c>
      <c r="I318" s="95">
        <f>[6]ORÇAMENTO!X342</f>
        <v>466.87</v>
      </c>
    </row>
    <row r="319" spans="1:11">
      <c r="A319" s="94" t="s">
        <v>327</v>
      </c>
      <c r="B319" s="105" t="str">
        <f>[6]ORÇAMENTO!P343</f>
        <v>SINAPI</v>
      </c>
      <c r="C319" s="105" t="str">
        <f>[6]ORÇAMENTO!Q343</f>
        <v>93358</v>
      </c>
      <c r="D319" s="106" t="str">
        <f>[6]ORÇAMENTO!R343</f>
        <v>ESCAVAÇÃO MANUAL DE VALA. AF_09/2024</v>
      </c>
      <c r="E319" s="16" t="str">
        <f>[6]ORÇAMENTO!S343</f>
        <v>M3</v>
      </c>
      <c r="F319" s="17">
        <f>[6]ORÇAMENTO!T343</f>
        <v>30</v>
      </c>
      <c r="G319" s="17">
        <f>[6]ORÇAMENTO!U343</f>
        <v>96.16</v>
      </c>
      <c r="H319" s="17">
        <f>[6]ORÇAMENTO!W343</f>
        <v>118.96</v>
      </c>
      <c r="I319" s="95">
        <f>[6]ORÇAMENTO!X343</f>
        <v>3568.8</v>
      </c>
    </row>
    <row r="320" spans="1:11" ht="24">
      <c r="A320" s="94" t="s">
        <v>327</v>
      </c>
      <c r="B320" s="105" t="str">
        <f>[6]ORÇAMENTO!P344</f>
        <v>SINAPI</v>
      </c>
      <c r="C320" s="105" t="str">
        <f>[6]ORÇAMENTO!Q344</f>
        <v>96985</v>
      </c>
      <c r="D320" s="106" t="str">
        <f>[6]ORÇAMENTO!R344</f>
        <v>HASTE DE ATERRAMENTO, DIÂMETRO 5/8", COM 3 METROS - FORNECIMENTO E INSTALAÇÃO. AF_08/2023</v>
      </c>
      <c r="E320" s="16" t="str">
        <f>[6]ORÇAMENTO!S344</f>
        <v>UN</v>
      </c>
      <c r="F320" s="17">
        <f>[6]ORÇAMENTO!T344</f>
        <v>10</v>
      </c>
      <c r="G320" s="17">
        <f>[6]ORÇAMENTO!U344</f>
        <v>101.44</v>
      </c>
      <c r="H320" s="17">
        <f>[6]ORÇAMENTO!W344</f>
        <v>125.49</v>
      </c>
      <c r="I320" s="95">
        <f>[6]ORÇAMENTO!X344</f>
        <v>1254.9000000000001</v>
      </c>
    </row>
    <row r="321" spans="1:11" ht="24">
      <c r="A321" s="94" t="s">
        <v>327</v>
      </c>
      <c r="B321" s="105" t="str">
        <f>[6]ORÇAMENTO!P345</f>
        <v>SINAPI</v>
      </c>
      <c r="C321" s="105" t="str">
        <f>[6]ORÇAMENTO!Q345</f>
        <v>96973</v>
      </c>
      <c r="D321" s="106" t="str">
        <f>[6]ORÇAMENTO!R345</f>
        <v>CORDOALHA DE COBRE NU 35 MM², NÃO ENTERRADA, COM ISOLADOR - FORNECIMENTO E INSTALAÇÃO. AF_08/2023</v>
      </c>
      <c r="E321" s="16" t="str">
        <f>[6]ORÇAMENTO!S345</f>
        <v>M</v>
      </c>
      <c r="F321" s="17">
        <f>[6]ORÇAMENTO!T345</f>
        <v>250</v>
      </c>
      <c r="G321" s="17">
        <f>[6]ORÇAMENTO!U345</f>
        <v>73.959999999999994</v>
      </c>
      <c r="H321" s="17">
        <f>[6]ORÇAMENTO!W345</f>
        <v>91.5</v>
      </c>
      <c r="I321" s="95">
        <f>[6]ORÇAMENTO!X345</f>
        <v>22875</v>
      </c>
    </row>
    <row r="322" spans="1:11" ht="24">
      <c r="A322" s="94" t="s">
        <v>327</v>
      </c>
      <c r="B322" s="105" t="str">
        <f>[6]ORÇAMENTO!P346</f>
        <v>SINAPI</v>
      </c>
      <c r="C322" s="105" t="str">
        <f>[6]ORÇAMENTO!Q346</f>
        <v>96974</v>
      </c>
      <c r="D322" s="106" t="str">
        <f>[6]ORÇAMENTO!R346</f>
        <v>CORDOALHA DE COBRE NU 50 MM², NÃO ENTERRADA, COM ISOLADOR - FORNECIMENTO E INSTALAÇÃO. AF_08/2023</v>
      </c>
      <c r="E322" s="16" t="str">
        <f>[6]ORÇAMENTO!S346</f>
        <v>M</v>
      </c>
      <c r="F322" s="17">
        <f>[6]ORÇAMENTO!T346</f>
        <v>200</v>
      </c>
      <c r="G322" s="17">
        <f>[6]ORÇAMENTO!U346</f>
        <v>95.26</v>
      </c>
      <c r="H322" s="17">
        <f>[6]ORÇAMENTO!W346</f>
        <v>117.85</v>
      </c>
      <c r="I322" s="95">
        <f>[6]ORÇAMENTO!X346</f>
        <v>23570</v>
      </c>
    </row>
    <row r="323" spans="1:11" ht="36">
      <c r="A323" s="94" t="s">
        <v>327</v>
      </c>
      <c r="B323" s="105" t="str">
        <f>[6]ORÇAMENTO!P347</f>
        <v>SINAPI-I</v>
      </c>
      <c r="C323" s="105" t="str">
        <f>[6]ORÇAMENTO!Q347</f>
        <v>34643</v>
      </c>
      <c r="D323" s="106" t="str">
        <f>[6]ORÇAMENTO!R347</f>
        <v>CAIXA DE INSPECAO PARA ATERRAMENTO E PARA RAIOS, EM POLIPROPILENO, DIAMETRO = 300 MM X ALTURA = 400 MM (INCLUIDA TAMPA SEM ESCOTILHA)</v>
      </c>
      <c r="E323" s="16" t="str">
        <f>[6]ORÇAMENTO!S347</f>
        <v>UN</v>
      </c>
      <c r="F323" s="17">
        <f>[6]ORÇAMENTO!T347</f>
        <v>5</v>
      </c>
      <c r="G323" s="17">
        <f>[6]ORÇAMENTO!U347</f>
        <v>43.09</v>
      </c>
      <c r="H323" s="17">
        <f>[6]ORÇAMENTO!W347</f>
        <v>53.31</v>
      </c>
      <c r="I323" s="95">
        <f>[6]ORÇAMENTO!X347</f>
        <v>266.55</v>
      </c>
    </row>
    <row r="324" spans="1:11" ht="36">
      <c r="A324" s="94" t="s">
        <v>327</v>
      </c>
      <c r="B324" s="105" t="str">
        <f>[6]ORÇAMENTO!P348</f>
        <v>SINAPI</v>
      </c>
      <c r="C324" s="105" t="str">
        <f>[6]ORÇAMENTO!Q348</f>
        <v>103899</v>
      </c>
      <c r="D324" s="106" t="str">
        <f>[6]ORÇAMENTO!R348</f>
        <v>CONECTOR EM BRONZE/LATÃO, DN 28 MM X 1/2", SEM ANEL DE SOLDA, BOLSA X ROSCA F, INSTALADO EM RAMAL E SUB-RAMAL DE AQUECIMENTO SOLAR - FORNECIMENTO E INSTALAÇÃO. AF_04/2022</v>
      </c>
      <c r="E324" s="16" t="str">
        <f>[6]ORÇAMENTO!S348</f>
        <v>UN</v>
      </c>
      <c r="F324" s="17">
        <f>[6]ORÇAMENTO!T348</f>
        <v>10</v>
      </c>
      <c r="G324" s="17">
        <f>[6]ORÇAMENTO!U348</f>
        <v>35.119999999999997</v>
      </c>
      <c r="H324" s="17">
        <f>[6]ORÇAMENTO!W348</f>
        <v>43.45</v>
      </c>
      <c r="I324" s="95">
        <f>[6]ORÇAMENTO!X348</f>
        <v>434.5</v>
      </c>
    </row>
    <row r="325" spans="1:11" ht="24">
      <c r="A325" s="94" t="s">
        <v>327</v>
      </c>
      <c r="B325" s="105" t="str">
        <f>[6]ORÇAMENTO!P349</f>
        <v>SINAPI</v>
      </c>
      <c r="C325" s="105" t="str">
        <f>[6]ORÇAMENTO!Q349</f>
        <v>96973</v>
      </c>
      <c r="D325" s="106" t="str">
        <f>[6]ORÇAMENTO!R349</f>
        <v>CORDOALHA DE COBRE NU 35 MM², NÃO ENTERRADA, COM ISOLADOR - FORNECIMENTO E INSTALAÇÃO. AF_08/2023</v>
      </c>
      <c r="E325" s="16" t="str">
        <f>[6]ORÇAMENTO!S349</f>
        <v>M</v>
      </c>
      <c r="F325" s="17">
        <f>[6]ORÇAMENTO!T349</f>
        <v>176</v>
      </c>
      <c r="G325" s="17">
        <f>[6]ORÇAMENTO!U349</f>
        <v>73.959999999999994</v>
      </c>
      <c r="H325" s="17">
        <f>[6]ORÇAMENTO!W349</f>
        <v>91.5</v>
      </c>
      <c r="I325" s="95">
        <f>[6]ORÇAMENTO!X349</f>
        <v>16104</v>
      </c>
    </row>
    <row r="326" spans="1:11" ht="24">
      <c r="A326" s="94" t="s">
        <v>327</v>
      </c>
      <c r="B326" s="105" t="str">
        <f>[6]ORÇAMENTO!P350</f>
        <v>SINAPI-I</v>
      </c>
      <c r="C326" s="105" t="str">
        <f>[6]ORÇAMENTO!Q350</f>
        <v>11950</v>
      </c>
      <c r="D326" s="106" t="str">
        <f>[6]ORÇAMENTO!R350</f>
        <v>BUCHA DE NYLON SEM ABA S6, COM PARAFUSO DE 4,20 X 40 MM EM ACO ZINCADO COM ROSCA SOBERBA, CABECA CHATA E FENDA PHILLIPS</v>
      </c>
      <c r="E326" s="16" t="str">
        <f>[6]ORÇAMENTO!S350</f>
        <v>UN</v>
      </c>
      <c r="F326" s="17">
        <f>[6]ORÇAMENTO!T350</f>
        <v>88</v>
      </c>
      <c r="G326" s="17">
        <f>[6]ORÇAMENTO!U350</f>
        <v>0.41</v>
      </c>
      <c r="H326" s="17">
        <f>[6]ORÇAMENTO!W350</f>
        <v>0.51</v>
      </c>
      <c r="I326" s="95">
        <f>[6]ORÇAMENTO!X350</f>
        <v>44.88</v>
      </c>
    </row>
    <row r="327" spans="1:11" ht="24">
      <c r="A327" s="94" t="s">
        <v>327</v>
      </c>
      <c r="B327" s="105" t="str">
        <f>[6]ORÇAMENTO!P351</f>
        <v>SINAPI-I</v>
      </c>
      <c r="C327" s="105">
        <f>[6]ORÇAMENTO!Q351</f>
        <v>39141</v>
      </c>
      <c r="D327" s="106" t="str">
        <f>[6]ORÇAMENTO!R351</f>
        <v>ABRACADEIRA EM ACO PARA AMARRACAO DE ELETRODUTOS, TIPO U SIMPLES, COM 1 1/2"</v>
      </c>
      <c r="E327" s="16" t="str">
        <f>[6]ORÇAMENTO!S351</f>
        <v>UN</v>
      </c>
      <c r="F327" s="17">
        <f>[6]ORÇAMENTO!T351</f>
        <v>44</v>
      </c>
      <c r="G327" s="17">
        <f>[6]ORÇAMENTO!U351</f>
        <v>1.97</v>
      </c>
      <c r="H327" s="17">
        <f>[6]ORÇAMENTO!W351</f>
        <v>2.44</v>
      </c>
      <c r="I327" s="95">
        <f>[6]ORÇAMENTO!X351</f>
        <v>107.36</v>
      </c>
    </row>
    <row r="328" spans="1:11" ht="36">
      <c r="A328" s="94" t="s">
        <v>327</v>
      </c>
      <c r="B328" s="105" t="str">
        <f>[6]ORÇAMENTO!P352</f>
        <v>SINAPI-I</v>
      </c>
      <c r="C328" s="105" t="str">
        <f>[6]ORÇAMENTO!Q352</f>
        <v>34643</v>
      </c>
      <c r="D328" s="106" t="str">
        <f>[6]ORÇAMENTO!R352</f>
        <v>CAIXA DE INSPECAO PARA ATERRAMENTO E PARA RAIOS, EM POLIPROPILENO, DIAMETRO = 300 MM X ALTURA = 400 MM (INCLUIDA TAMPA SEM ESCOTILHA)</v>
      </c>
      <c r="E328" s="16" t="str">
        <f>[6]ORÇAMENTO!S352</f>
        <v>UN</v>
      </c>
      <c r="F328" s="17">
        <f>[6]ORÇAMENTO!T352</f>
        <v>11</v>
      </c>
      <c r="G328" s="17">
        <f>[6]ORÇAMENTO!U352</f>
        <v>43.09</v>
      </c>
      <c r="H328" s="17">
        <f>[6]ORÇAMENTO!W352</f>
        <v>53.31</v>
      </c>
      <c r="I328" s="95">
        <f>[6]ORÇAMENTO!X352</f>
        <v>586.41</v>
      </c>
    </row>
    <row r="329" spans="1:11" ht="24">
      <c r="A329" s="94" t="s">
        <v>327</v>
      </c>
      <c r="B329" s="105" t="str">
        <f>[6]ORÇAMENTO!P353</f>
        <v>SINAPI</v>
      </c>
      <c r="C329" s="105">
        <f>[6]ORÇAMENTO!Q353</f>
        <v>95728</v>
      </c>
      <c r="D329" s="106" t="str">
        <f>[6]ORÇAMENTO!R353</f>
        <v>ELETRODUTO RÍGIDO SOLDÁVEL, PVC, DN 32 MM (1"), APARENTE - FORNECIMENTO E INSTALAÇÃO. AF_10/2022</v>
      </c>
      <c r="E329" s="16" t="str">
        <f>[6]ORÇAMENTO!S353</f>
        <v>M</v>
      </c>
      <c r="F329" s="17">
        <f>[6]ORÇAMENTO!T353</f>
        <v>176</v>
      </c>
      <c r="G329" s="17">
        <f>[6]ORÇAMENTO!U353</f>
        <v>29.58</v>
      </c>
      <c r="H329" s="17">
        <f>[6]ORÇAMENTO!W353</f>
        <v>36.590000000000003</v>
      </c>
      <c r="I329" s="95">
        <f>[6]ORÇAMENTO!X353</f>
        <v>6439.84</v>
      </c>
    </row>
    <row r="330" spans="1:11" s="116" customFormat="1">
      <c r="A330" s="117">
        <v>18</v>
      </c>
      <c r="B330" s="118"/>
      <c r="C330" s="118"/>
      <c r="D330" s="119" t="str">
        <f>[6]ORÇAMENTO!R354</f>
        <v>SERVIÇOS COMPLEMENTARES</v>
      </c>
      <c r="E330" s="120"/>
      <c r="F330" s="121"/>
      <c r="G330" s="121"/>
      <c r="H330" s="121"/>
      <c r="I330" s="122">
        <f>[6]ORÇAMENTO!X354</f>
        <v>18101.03</v>
      </c>
      <c r="J330" s="115"/>
      <c r="K330" s="115"/>
    </row>
    <row r="331" spans="1:11" ht="24">
      <c r="A331" s="94" t="s">
        <v>328</v>
      </c>
      <c r="B331" s="105" t="str">
        <f>[6]ORÇAMENTO!P355</f>
        <v>Composição</v>
      </c>
      <c r="C331" s="105" t="str">
        <f>[6]ORÇAMENTO!Q355</f>
        <v>048</v>
      </c>
      <c r="D331" s="106" t="str">
        <f>[6]ORÇAMENTO!R355</f>
        <v>CONJUNTO DE MASTROS PARA BANDEIRAS EM TUBO FERRO GALVANIZADO TELESCÓPIO (ALTURA 7M)</v>
      </c>
      <c r="E331" s="16" t="str">
        <f>[6]ORÇAMENTO!S355</f>
        <v xml:space="preserve">UN    </v>
      </c>
      <c r="F331" s="17">
        <f>[6]ORÇAMENTO!T355</f>
        <v>1</v>
      </c>
      <c r="G331" s="17">
        <f>[6]ORÇAMENTO!U355</f>
        <v>3813.08</v>
      </c>
      <c r="H331" s="17">
        <f>[6]ORÇAMENTO!W355</f>
        <v>4717.16</v>
      </c>
      <c r="I331" s="95">
        <f>[6]ORÇAMENTO!X355</f>
        <v>4717.16</v>
      </c>
    </row>
    <row r="332" spans="1:11" ht="24">
      <c r="A332" s="94" t="s">
        <v>329</v>
      </c>
      <c r="B332" s="105" t="str">
        <f>[6]ORÇAMENTO!P356</f>
        <v>Composição</v>
      </c>
      <c r="C332" s="105" t="str">
        <f>[6]ORÇAMENTO!Q356</f>
        <v>049</v>
      </c>
      <c r="D332" s="106" t="str">
        <f>[6]ORÇAMENTO!R356</f>
        <v>BANCADA EM GRANITO CINZA ANDORINHA - ESPESSURA 2 CM - CONFORME PROJETO</v>
      </c>
      <c r="E332" s="16" t="str">
        <f>[6]ORÇAMENTO!S356</f>
        <v>M²</v>
      </c>
      <c r="F332" s="17">
        <f>[6]ORÇAMENTO!T356</f>
        <v>29.79</v>
      </c>
      <c r="G332" s="17">
        <f>[6]ORÇAMENTO!U356</f>
        <v>129.44999999999999</v>
      </c>
      <c r="H332" s="17">
        <f>[6]ORÇAMENTO!W356</f>
        <v>160.13999999999999</v>
      </c>
      <c r="I332" s="95">
        <f>[6]ORÇAMENTO!X356</f>
        <v>4770.57</v>
      </c>
    </row>
    <row r="333" spans="1:11" ht="24">
      <c r="A333" s="94" t="s">
        <v>330</v>
      </c>
      <c r="B333" s="105" t="str">
        <f>[6]ORÇAMENTO!P357</f>
        <v>Composição</v>
      </c>
      <c r="C333" s="105" t="str">
        <f>[6]ORÇAMENTO!Q357</f>
        <v>050</v>
      </c>
      <c r="D333" s="106" t="str">
        <f>[6]ORÇAMENTO!R357</f>
        <v>PRATELEIRA, ACABAMENTOS EM GRANITO CINZA ANDORINHA - ESPESSURA 2CM, CONFORME PROJETO</v>
      </c>
      <c r="E333" s="16" t="str">
        <f>[6]ORÇAMENTO!S357</f>
        <v>M²</v>
      </c>
      <c r="F333" s="17">
        <f>[6]ORÇAMENTO!T357</f>
        <v>30.37</v>
      </c>
      <c r="G333" s="17">
        <f>[6]ORÇAMENTO!U357</f>
        <v>129.44999999999999</v>
      </c>
      <c r="H333" s="17">
        <f>[6]ORÇAMENTO!W357</f>
        <v>160.13999999999999</v>
      </c>
      <c r="I333" s="95">
        <f>[6]ORÇAMENTO!X357</f>
        <v>4863.45</v>
      </c>
    </row>
    <row r="334" spans="1:11">
      <c r="A334" s="94" t="s">
        <v>331</v>
      </c>
      <c r="B334" s="105" t="str">
        <f>[6]ORÇAMENTO!P358</f>
        <v>Composição</v>
      </c>
      <c r="C334" s="105" t="str">
        <f>[6]ORÇAMENTO!Q358</f>
        <v>051</v>
      </c>
      <c r="D334" s="106" t="str">
        <f>[6]ORÇAMENTO!R358</f>
        <v>PRATELEIRAS E ESCANINHOS EM MDF</v>
      </c>
      <c r="E334" s="16" t="str">
        <f>[6]ORÇAMENTO!S358</f>
        <v>M²</v>
      </c>
      <c r="F334" s="17">
        <f>[6]ORÇAMENTO!T358</f>
        <v>31</v>
      </c>
      <c r="G334" s="17">
        <f>[6]ORÇAMENTO!U358</f>
        <v>70.36</v>
      </c>
      <c r="H334" s="17">
        <f>[6]ORÇAMENTO!W358</f>
        <v>87.04</v>
      </c>
      <c r="I334" s="95">
        <f>[6]ORÇAMENTO!X358</f>
        <v>2698.24</v>
      </c>
    </row>
    <row r="335" spans="1:11">
      <c r="A335" s="94" t="s">
        <v>332</v>
      </c>
      <c r="B335" s="105" t="str">
        <f>[6]ORÇAMENTO!P359</f>
        <v>Composição</v>
      </c>
      <c r="C335" s="105" t="str">
        <f>[6]ORÇAMENTO!Q359</f>
        <v>052</v>
      </c>
      <c r="D335" s="106" t="str">
        <f>[6]ORÇAMENTO!R359</f>
        <v>BANCO E ACABAMENTO EM GRANITO</v>
      </c>
      <c r="E335" s="16" t="str">
        <f>[6]ORÇAMENTO!S359</f>
        <v xml:space="preserve">UN    </v>
      </c>
      <c r="F335" s="17">
        <f>[6]ORÇAMENTO!T359</f>
        <v>2.4</v>
      </c>
      <c r="G335" s="17">
        <f>[6]ORÇAMENTO!U359</f>
        <v>354.19</v>
      </c>
      <c r="H335" s="17">
        <f>[6]ORÇAMENTO!W359</f>
        <v>438.17</v>
      </c>
      <c r="I335" s="95">
        <f>[6]ORÇAMENTO!X359</f>
        <v>1051.6099999999999</v>
      </c>
    </row>
    <row r="336" spans="1:11" s="116" customFormat="1">
      <c r="A336" s="117">
        <v>19</v>
      </c>
      <c r="B336" s="118"/>
      <c r="C336" s="118"/>
      <c r="D336" s="119" t="str">
        <f>[6]ORÇAMENTO!R360</f>
        <v>SERVIÇOS FINAIS</v>
      </c>
      <c r="E336" s="120"/>
      <c r="F336" s="121"/>
      <c r="G336" s="121"/>
      <c r="H336" s="121"/>
      <c r="I336" s="122">
        <f>[6]ORÇAMENTO!X360</f>
        <v>5709.58</v>
      </c>
      <c r="J336" s="115"/>
      <c r="K336" s="115"/>
    </row>
    <row r="337" spans="1:12" ht="12.6" thickBot="1">
      <c r="A337" s="108" t="s">
        <v>333</v>
      </c>
      <c r="B337" s="109" t="str">
        <f>[6]ORÇAMENTO!P361</f>
        <v>Composição</v>
      </c>
      <c r="C337" s="109" t="str">
        <f>[6]ORÇAMENTO!Q361</f>
        <v>053</v>
      </c>
      <c r="D337" s="110" t="str">
        <f>[6]ORÇAMENTO!R361</f>
        <v>LIMPEZA FINAL DA OBRA</v>
      </c>
      <c r="E337" s="111" t="str">
        <f>[6]ORÇAMENTO!S361</f>
        <v>M²</v>
      </c>
      <c r="F337" s="112">
        <f>[6]ORÇAMENTO!T361</f>
        <v>890.73</v>
      </c>
      <c r="G337" s="112">
        <f>[6]ORÇAMENTO!U361</f>
        <v>5.18</v>
      </c>
      <c r="H337" s="112">
        <f>[6]ORÇAMENTO!W361</f>
        <v>6.41</v>
      </c>
      <c r="I337" s="113">
        <f>[6]ORÇAMENTO!X361</f>
        <v>5709.58</v>
      </c>
    </row>
    <row r="338" spans="1:12" ht="15.75" customHeight="1" thickBot="1">
      <c r="A338" s="114"/>
      <c r="B338" s="205" t="s">
        <v>334</v>
      </c>
      <c r="C338" s="205"/>
      <c r="D338" s="205"/>
      <c r="E338" s="205"/>
      <c r="F338" s="205"/>
      <c r="G338" s="206"/>
      <c r="H338" s="207">
        <f>[6]ORÇAMENTO!$X$16</f>
        <v>1255258.68</v>
      </c>
      <c r="I338" s="208"/>
      <c r="L338" s="2"/>
    </row>
    <row r="340" spans="1:12" ht="13.2">
      <c r="C340" s="41" t="str">
        <f>CFF!B32</f>
        <v>Rosário do Sul - RS,</v>
      </c>
      <c r="D340" s="180">
        <f ca="1">TODAY()</f>
        <v>46162</v>
      </c>
      <c r="E340" s="180"/>
      <c r="F340" s="180"/>
    </row>
    <row r="347" spans="1:12">
      <c r="E347" s="132"/>
    </row>
    <row r="348" spans="1:12">
      <c r="B348" s="3" t="s">
        <v>371</v>
      </c>
      <c r="E348" s="132" t="s">
        <v>373</v>
      </c>
      <c r="F348" s="132"/>
      <c r="G348" s="132"/>
      <c r="H348" s="132"/>
    </row>
    <row r="349" spans="1:12">
      <c r="B349" s="3" t="s">
        <v>372</v>
      </c>
      <c r="E349" s="132" t="s">
        <v>374</v>
      </c>
    </row>
  </sheetData>
  <mergeCells count="11">
    <mergeCell ref="A3:B3"/>
    <mergeCell ref="A5:I6"/>
    <mergeCell ref="D340:F340"/>
    <mergeCell ref="A1:B1"/>
    <mergeCell ref="H1:I1"/>
    <mergeCell ref="A2:B2"/>
    <mergeCell ref="C2:G2"/>
    <mergeCell ref="H2:I2"/>
    <mergeCell ref="C1:F1"/>
    <mergeCell ref="B338:G338"/>
    <mergeCell ref="H338:I338"/>
  </mergeCells>
  <phoneticPr fontId="2" type="noConversion"/>
  <printOptions horizontalCentered="1"/>
  <pageMargins left="0.39370078740157483" right="0.39370078740157483" top="0.98425196850393704" bottom="0.59055118110236227" header="0.19685039370078741" footer="0.51181102362204722"/>
  <pageSetup paperSize="9" scale="77" orientation="portrait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BDI</vt:lpstr>
      <vt:lpstr>CFF</vt:lpstr>
      <vt:lpstr>PO</vt:lpstr>
      <vt:lpstr>BDI!Area_de_impressao</vt:lpstr>
      <vt:lpstr>CFF!Area_de_impressao</vt:lpstr>
      <vt:lpstr>PO!Area_de_impressao</vt:lpstr>
      <vt:lpstr>PO!Titulos_de_impressao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2025-12-05T14:25:31Z</cp:lastPrinted>
  <dcterms:created xsi:type="dcterms:W3CDTF">2015-06-05T18:19:34Z</dcterms:created>
  <dcterms:modified xsi:type="dcterms:W3CDTF">2026-05-20T15:59:46Z</dcterms:modified>
</cp:coreProperties>
</file>