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\OneDrive\Desktop\transporte\"/>
    </mc:Choice>
  </mc:AlternateContent>
  <bookViews>
    <workbookView xWindow="0" yWindow="0" windowWidth="28800" windowHeight="12435" tabRatio="672" firstSheet="2" activeTab="4"/>
  </bookViews>
  <sheets>
    <sheet name="1 van 12 lugar" sheetId="7" r:id="rId1"/>
    <sheet name="2 ônibus 48 lugar" sheetId="2" r:id="rId2"/>
    <sheet name="3 onibus 40 lugar" sheetId="3" r:id="rId3"/>
    <sheet name="4 onibus 40 lug" sheetId="4" r:id="rId4"/>
    <sheet name="5 18 lugar" sheetId="15" r:id="rId5"/>
    <sheet name="6 van 24 lug" sheetId="5" r:id="rId6"/>
    <sheet name="7 micro 30lug" sheetId="9" r:id="rId7"/>
    <sheet name="8 van 21" sheetId="10" r:id="rId8"/>
    <sheet name="9 micro 30" sheetId="13" r:id="rId9"/>
    <sheet name="10 van 24" sheetId="14" r:id="rId10"/>
    <sheet name="11 van 5" sheetId="16" r:id="rId1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6" l="1"/>
  <c r="E37" i="16" l="1"/>
  <c r="E43" i="16" s="1"/>
  <c r="E38" i="14"/>
  <c r="E44" i="14" s="1"/>
  <c r="E38" i="13"/>
  <c r="E39" i="13" s="1"/>
  <c r="E40" i="13" s="1"/>
  <c r="E38" i="10"/>
  <c r="E38" i="9"/>
  <c r="E39" i="9" s="1"/>
  <c r="E40" i="9" s="1"/>
  <c r="E38" i="5"/>
  <c r="E38" i="15"/>
  <c r="E38" i="4"/>
  <c r="E38" i="3"/>
  <c r="E39" i="3" s="1"/>
  <c r="E40" i="3" s="1"/>
  <c r="E38" i="2"/>
  <c r="E44" i="7"/>
  <c r="E38" i="7"/>
  <c r="E39" i="7" s="1"/>
  <c r="E40" i="7" s="1"/>
  <c r="E44" i="3" l="1"/>
  <c r="E39" i="5"/>
  <c r="E40" i="5" s="1"/>
  <c r="E44" i="5"/>
  <c r="E44" i="9"/>
  <c r="E38" i="16"/>
  <c r="E39" i="16" s="1"/>
  <c r="E39" i="14"/>
  <c r="E40" i="14" s="1"/>
  <c r="E44" i="13"/>
  <c r="E39" i="10"/>
  <c r="E40" i="10" s="1"/>
  <c r="E44" i="10"/>
  <c r="E44" i="15"/>
  <c r="E39" i="15"/>
  <c r="E40" i="15" s="1"/>
  <c r="E44" i="4"/>
  <c r="E39" i="4"/>
  <c r="E40" i="4" s="1"/>
  <c r="E44" i="2"/>
  <c r="E39" i="2"/>
  <c r="E40" i="2" s="1"/>
  <c r="D42" i="7"/>
  <c r="D42" i="2"/>
  <c r="D42" i="3"/>
  <c r="D42" i="4"/>
  <c r="D42" i="15"/>
  <c r="D42" i="5"/>
  <c r="D42" i="9"/>
  <c r="D42" i="10"/>
  <c r="D42" i="13"/>
  <c r="D42" i="14"/>
  <c r="D43" i="15" l="1"/>
  <c r="E42" i="15"/>
  <c r="E43" i="15" s="1"/>
  <c r="D43" i="3"/>
  <c r="E42" i="3"/>
  <c r="E43" i="3" s="1"/>
  <c r="D43" i="7"/>
  <c r="E42" i="7"/>
  <c r="E43" i="7" s="1"/>
  <c r="D43" i="4"/>
  <c r="E42" i="4"/>
  <c r="E43" i="4" s="1"/>
  <c r="D43" i="10"/>
  <c r="E42" i="10"/>
  <c r="E43" i="10" s="1"/>
  <c r="D43" i="14"/>
  <c r="E42" i="14"/>
  <c r="E43" i="14" s="1"/>
  <c r="D43" i="2"/>
  <c r="E42" i="2"/>
  <c r="E43" i="2" s="1"/>
  <c r="D43" i="13"/>
  <c r="E42" i="13"/>
  <c r="E43" i="13" s="1"/>
  <c r="D43" i="5"/>
  <c r="E42" i="5"/>
  <c r="E43" i="5" s="1"/>
  <c r="D43" i="9"/>
  <c r="E42" i="9"/>
  <c r="E43" i="9" s="1"/>
  <c r="H56" i="16"/>
  <c r="H58" i="16" s="1"/>
  <c r="D41" i="16"/>
  <c r="D40" i="16"/>
  <c r="C37" i="16"/>
  <c r="C38" i="16" s="1"/>
  <c r="D39" i="16" s="1"/>
  <c r="D18" i="16"/>
  <c r="D14" i="16"/>
  <c r="C11" i="16"/>
  <c r="B23" i="16" s="1"/>
  <c r="B8" i="16"/>
  <c r="B9" i="16" s="1"/>
  <c r="C10" i="16" s="1"/>
  <c r="B22" i="16" s="1"/>
  <c r="D42" i="16" l="1"/>
  <c r="D43" i="16"/>
  <c r="D44" i="16" s="1"/>
  <c r="E42" i="16" l="1"/>
  <c r="E44" i="16"/>
  <c r="D45" i="16"/>
  <c r="D46" i="16"/>
  <c r="E114" i="15"/>
  <c r="H57" i="15"/>
  <c r="H59" i="15" s="1"/>
  <c r="D41" i="15"/>
  <c r="E41" i="15" s="1"/>
  <c r="E45" i="15" s="1"/>
  <c r="C38" i="15"/>
  <c r="D44" i="15" s="1"/>
  <c r="D19" i="15"/>
  <c r="D15" i="15"/>
  <c r="C12" i="15"/>
  <c r="B24" i="15" s="1"/>
  <c r="B9" i="15"/>
  <c r="B10" i="15" s="1"/>
  <c r="C11" i="15" s="1"/>
  <c r="B23" i="15" s="1"/>
  <c r="D6" i="15"/>
  <c r="C33" i="15" s="1"/>
  <c r="H57" i="14"/>
  <c r="H59" i="14" s="1"/>
  <c r="D41" i="14"/>
  <c r="E41" i="14" s="1"/>
  <c r="E45" i="14" s="1"/>
  <c r="C38" i="14"/>
  <c r="D44" i="14" s="1"/>
  <c r="D19" i="14"/>
  <c r="D15" i="14"/>
  <c r="C12" i="14"/>
  <c r="B24" i="14" s="1"/>
  <c r="B9" i="14"/>
  <c r="B10" i="14" s="1"/>
  <c r="C11" i="14" s="1"/>
  <c r="B23" i="14" s="1"/>
  <c r="D6" i="14"/>
  <c r="D7" i="14" s="1"/>
  <c r="E113" i="13"/>
  <c r="H57" i="13"/>
  <c r="H59" i="13" s="1"/>
  <c r="D41" i="13"/>
  <c r="E41" i="13" s="1"/>
  <c r="E45" i="13" s="1"/>
  <c r="C38" i="13"/>
  <c r="D44" i="13" s="1"/>
  <c r="D19" i="13"/>
  <c r="D15" i="13"/>
  <c r="C12" i="13"/>
  <c r="B24" i="13" s="1"/>
  <c r="B9" i="13"/>
  <c r="B10" i="13" s="1"/>
  <c r="C11" i="13" s="1"/>
  <c r="B23" i="13" s="1"/>
  <c r="D6" i="13"/>
  <c r="C33" i="13" s="1"/>
  <c r="E47" i="13" l="1"/>
  <c r="E48" i="13" s="1"/>
  <c r="E46" i="13"/>
  <c r="C16" i="13"/>
  <c r="C17" i="13" s="1"/>
  <c r="D17" i="13" s="1"/>
  <c r="E47" i="14"/>
  <c r="E48" i="14" s="1"/>
  <c r="E46" i="14"/>
  <c r="E46" i="16"/>
  <c r="E45" i="16"/>
  <c r="I47" i="16" s="1"/>
  <c r="I54" i="16" s="1"/>
  <c r="E47" i="15"/>
  <c r="E48" i="15" s="1"/>
  <c r="E46" i="15"/>
  <c r="C16" i="14"/>
  <c r="C18" i="14" s="1"/>
  <c r="D18" i="14" s="1"/>
  <c r="C39" i="14"/>
  <c r="D40" i="14" s="1"/>
  <c r="D45" i="14" s="1"/>
  <c r="D47" i="16"/>
  <c r="C39" i="15"/>
  <c r="D40" i="15" s="1"/>
  <c r="C16" i="15"/>
  <c r="D7" i="15"/>
  <c r="C33" i="14"/>
  <c r="C18" i="13"/>
  <c r="C21" i="13" s="1"/>
  <c r="C20" i="13" s="1"/>
  <c r="D20" i="13" s="1"/>
  <c r="C39" i="13"/>
  <c r="D40" i="13" s="1"/>
  <c r="D16" i="13"/>
  <c r="D7" i="13"/>
  <c r="I50" i="16" l="1"/>
  <c r="I52" i="16"/>
  <c r="I53" i="16"/>
  <c r="I55" i="16"/>
  <c r="D21" i="13"/>
  <c r="I57" i="16"/>
  <c r="I56" i="16"/>
  <c r="E47" i="16"/>
  <c r="I51" i="16"/>
  <c r="D16" i="14"/>
  <c r="C22" i="14"/>
  <c r="C23" i="14" s="1"/>
  <c r="C24" i="14" s="1"/>
  <c r="D24" i="14" s="1"/>
  <c r="C17" i="14"/>
  <c r="D17" i="14" s="1"/>
  <c r="C21" i="14"/>
  <c r="D21" i="14" s="1"/>
  <c r="C17" i="15"/>
  <c r="D17" i="15" s="1"/>
  <c r="D16" i="15"/>
  <c r="C18" i="15"/>
  <c r="D45" i="15"/>
  <c r="D46" i="14"/>
  <c r="I48" i="14" s="1"/>
  <c r="D47" i="14"/>
  <c r="D18" i="13"/>
  <c r="C22" i="13"/>
  <c r="C23" i="13" s="1"/>
  <c r="C24" i="13" s="1"/>
  <c r="D24" i="13" s="1"/>
  <c r="D45" i="13"/>
  <c r="D23" i="13"/>
  <c r="E114" i="10"/>
  <c r="H57" i="10"/>
  <c r="H59" i="10" s="1"/>
  <c r="D41" i="10"/>
  <c r="E41" i="10" s="1"/>
  <c r="E45" i="10" s="1"/>
  <c r="C38" i="10"/>
  <c r="D19" i="10"/>
  <c r="D15" i="10"/>
  <c r="C12" i="10"/>
  <c r="B24" i="10" s="1"/>
  <c r="B9" i="10"/>
  <c r="B10" i="10" s="1"/>
  <c r="C11" i="10" s="1"/>
  <c r="B23" i="10" s="1"/>
  <c r="D6" i="10"/>
  <c r="C16" i="10" s="1"/>
  <c r="I58" i="16" l="1"/>
  <c r="I60" i="16" s="1"/>
  <c r="I61" i="16" s="1"/>
  <c r="B21" i="16" s="1"/>
  <c r="E46" i="10"/>
  <c r="E47" i="10"/>
  <c r="D23" i="14"/>
  <c r="C20" i="14"/>
  <c r="D20" i="14" s="1"/>
  <c r="D48" i="14"/>
  <c r="C39" i="10"/>
  <c r="D40" i="10" s="1"/>
  <c r="D44" i="10"/>
  <c r="D47" i="15"/>
  <c r="D46" i="15"/>
  <c r="I48" i="15" s="1"/>
  <c r="C21" i="15"/>
  <c r="D18" i="15"/>
  <c r="C22" i="15"/>
  <c r="C23" i="15" s="1"/>
  <c r="D47" i="13"/>
  <c r="D46" i="13"/>
  <c r="D16" i="10"/>
  <c r="C18" i="10"/>
  <c r="C21" i="10" s="1"/>
  <c r="C20" i="10" s="1"/>
  <c r="D20" i="10" s="1"/>
  <c r="C17" i="10"/>
  <c r="D17" i="10" s="1"/>
  <c r="D7" i="10"/>
  <c r="C33" i="10"/>
  <c r="D45" i="10"/>
  <c r="E113" i="9"/>
  <c r="D19" i="9"/>
  <c r="H57" i="9"/>
  <c r="H59" i="9" s="1"/>
  <c r="D41" i="9"/>
  <c r="E41" i="9" s="1"/>
  <c r="E45" i="9" s="1"/>
  <c r="C38" i="9"/>
  <c r="D44" i="9" s="1"/>
  <c r="D15" i="9"/>
  <c r="C12" i="9"/>
  <c r="B24" i="9" s="1"/>
  <c r="B9" i="9"/>
  <c r="B10" i="9" s="1"/>
  <c r="C11" i="9" s="1"/>
  <c r="B23" i="9" s="1"/>
  <c r="D6" i="9"/>
  <c r="C33" i="9" s="1"/>
  <c r="I48" i="13" l="1"/>
  <c r="E48" i="10"/>
  <c r="E47" i="9"/>
  <c r="E46" i="9"/>
  <c r="D48" i="13"/>
  <c r="I53" i="13"/>
  <c r="C39" i="9"/>
  <c r="D40" i="9" s="1"/>
  <c r="D45" i="9" s="1"/>
  <c r="D48" i="15"/>
  <c r="D21" i="15"/>
  <c r="C20" i="15"/>
  <c r="D20" i="15" s="1"/>
  <c r="I54" i="15"/>
  <c r="I53" i="15"/>
  <c r="I52" i="15"/>
  <c r="I58" i="15"/>
  <c r="I51" i="15"/>
  <c r="I56" i="15"/>
  <c r="I55" i="15"/>
  <c r="I57" i="15"/>
  <c r="C24" i="15"/>
  <c r="D24" i="15" s="1"/>
  <c r="D23" i="15"/>
  <c r="D18" i="10"/>
  <c r="D21" i="10"/>
  <c r="I55" i="14"/>
  <c r="I51" i="14"/>
  <c r="I56" i="14"/>
  <c r="I54" i="14"/>
  <c r="I53" i="14"/>
  <c r="I52" i="14"/>
  <c r="I58" i="14"/>
  <c r="I57" i="14"/>
  <c r="I58" i="13"/>
  <c r="I51" i="13"/>
  <c r="C16" i="9"/>
  <c r="C18" i="9" s="1"/>
  <c r="D18" i="9" s="1"/>
  <c r="C22" i="10"/>
  <c r="C23" i="10" s="1"/>
  <c r="D47" i="10"/>
  <c r="D46" i="10"/>
  <c r="I48" i="10" s="1"/>
  <c r="D7" i="9"/>
  <c r="C17" i="9"/>
  <c r="D17" i="9" s="1"/>
  <c r="C22" i="9" l="1"/>
  <c r="C23" i="9" s="1"/>
  <c r="C24" i="9" s="1"/>
  <c r="D24" i="9" s="1"/>
  <c r="E48" i="9"/>
  <c r="I59" i="14"/>
  <c r="I54" i="13"/>
  <c r="I55" i="13"/>
  <c r="I56" i="13"/>
  <c r="I57" i="13"/>
  <c r="I52" i="13"/>
  <c r="I59" i="15"/>
  <c r="D16" i="9"/>
  <c r="C21" i="9"/>
  <c r="C24" i="10"/>
  <c r="D24" i="10" s="1"/>
  <c r="D23" i="10"/>
  <c r="I54" i="10"/>
  <c r="I53" i="10"/>
  <c r="I52" i="10"/>
  <c r="I51" i="10"/>
  <c r="I56" i="10"/>
  <c r="I55" i="10"/>
  <c r="I58" i="10"/>
  <c r="I57" i="10"/>
  <c r="D48" i="10"/>
  <c r="D21" i="9"/>
  <c r="C20" i="9"/>
  <c r="D20" i="9" s="1"/>
  <c r="D46" i="9"/>
  <c r="D47" i="9"/>
  <c r="E114" i="7"/>
  <c r="H57" i="7"/>
  <c r="H59" i="7" s="1"/>
  <c r="D41" i="7"/>
  <c r="E41" i="7" s="1"/>
  <c r="E45" i="7" s="1"/>
  <c r="C38" i="7"/>
  <c r="D19" i="7"/>
  <c r="D15" i="7"/>
  <c r="C12" i="7"/>
  <c r="B24" i="7" s="1"/>
  <c r="B9" i="7"/>
  <c r="B10" i="7" s="1"/>
  <c r="C11" i="7" s="1"/>
  <c r="B23" i="7" s="1"/>
  <c r="D6" i="7"/>
  <c r="C33" i="7" l="1"/>
  <c r="D7" i="7"/>
  <c r="E46" i="7"/>
  <c r="E47" i="7"/>
  <c r="I48" i="9"/>
  <c r="I62" i="15"/>
  <c r="B22" i="15" s="1"/>
  <c r="D22" i="15" s="1"/>
  <c r="D25" i="15" s="1"/>
  <c r="D28" i="15" s="1"/>
  <c r="C39" i="7"/>
  <c r="D40" i="7" s="1"/>
  <c r="D44" i="7"/>
  <c r="I61" i="15"/>
  <c r="I61" i="14"/>
  <c r="I62" i="14" s="1"/>
  <c r="B22" i="14" s="1"/>
  <c r="D22" i="14" s="1"/>
  <c r="D25" i="14" s="1"/>
  <c r="D23" i="9"/>
  <c r="D48" i="9"/>
  <c r="I59" i="13"/>
  <c r="I59" i="10"/>
  <c r="I61" i="10" s="1"/>
  <c r="C16" i="7"/>
  <c r="D28" i="14" l="1"/>
  <c r="D27" i="14"/>
  <c r="D29" i="14" s="1"/>
  <c r="D30" i="14" s="1"/>
  <c r="I62" i="13"/>
  <c r="B22" i="13" s="1"/>
  <c r="D22" i="13" s="1"/>
  <c r="D25" i="13" s="1"/>
  <c r="D28" i="13" s="1"/>
  <c r="I61" i="13"/>
  <c r="D45" i="7"/>
  <c r="I62" i="10"/>
  <c r="B22" i="10" s="1"/>
  <c r="D22" i="10" s="1"/>
  <c r="D25" i="10" s="1"/>
  <c r="D28" i="10" s="1"/>
  <c r="D27" i="15"/>
  <c r="D29" i="15" s="1"/>
  <c r="D30" i="15" s="1"/>
  <c r="D32" i="15" s="1"/>
  <c r="D33" i="15" s="1"/>
  <c r="E48" i="7"/>
  <c r="I55" i="9"/>
  <c r="I54" i="9"/>
  <c r="I56" i="9"/>
  <c r="I53" i="9"/>
  <c r="I52" i="9"/>
  <c r="I58" i="9"/>
  <c r="I51" i="9"/>
  <c r="I57" i="9"/>
  <c r="C18" i="7"/>
  <c r="C17" i="7"/>
  <c r="D17" i="7" s="1"/>
  <c r="D16" i="7"/>
  <c r="D46" i="7"/>
  <c r="I48" i="7" s="1"/>
  <c r="D47" i="7"/>
  <c r="D27" i="13" l="1"/>
  <c r="D29" i="13" s="1"/>
  <c r="D27" i="10"/>
  <c r="D29" i="10" s="1"/>
  <c r="D30" i="10" s="1"/>
  <c r="D32" i="10" s="1"/>
  <c r="D32" i="14"/>
  <c r="J11" i="14" s="1"/>
  <c r="D48" i="7"/>
  <c r="D30" i="13"/>
  <c r="D32" i="13" s="1"/>
  <c r="I59" i="9"/>
  <c r="C22" i="7"/>
  <c r="C23" i="7" s="1"/>
  <c r="C21" i="7"/>
  <c r="D18" i="7"/>
  <c r="D33" i="14" l="1"/>
  <c r="L11" i="14"/>
  <c r="N11" i="14"/>
  <c r="D33" i="13"/>
  <c r="J11" i="13"/>
  <c r="D33" i="10"/>
  <c r="J11" i="10"/>
  <c r="I61" i="9"/>
  <c r="I62" i="9" s="1"/>
  <c r="B22" i="9" s="1"/>
  <c r="D22" i="9" s="1"/>
  <c r="D25" i="9" s="1"/>
  <c r="C24" i="7"/>
  <c r="D24" i="7" s="1"/>
  <c r="D23" i="7"/>
  <c r="I55" i="7"/>
  <c r="I54" i="7"/>
  <c r="I53" i="7"/>
  <c r="I51" i="7"/>
  <c r="I56" i="7"/>
  <c r="I52" i="7"/>
  <c r="I58" i="7"/>
  <c r="I57" i="7"/>
  <c r="D21" i="7"/>
  <c r="C20" i="7"/>
  <c r="D20" i="7" s="1"/>
  <c r="N11" i="13" l="1"/>
  <c r="L11" i="13"/>
  <c r="N11" i="10"/>
  <c r="L11" i="10"/>
  <c r="D27" i="9"/>
  <c r="D28" i="9"/>
  <c r="D29" i="9" s="1"/>
  <c r="I59" i="7"/>
  <c r="I61" i="7" l="1"/>
  <c r="I62" i="7" s="1"/>
  <c r="B22" i="7" s="1"/>
  <c r="D22" i="7" s="1"/>
  <c r="D25" i="7" s="1"/>
  <c r="D30" i="9"/>
  <c r="D32" i="9" s="1"/>
  <c r="D27" i="7" l="1"/>
  <c r="D28" i="7"/>
  <c r="D29" i="7" s="1"/>
  <c r="D30" i="7" s="1"/>
  <c r="D33" i="9"/>
  <c r="K11" i="9"/>
  <c r="O11" i="9" l="1"/>
  <c r="M11" i="9"/>
  <c r="D32" i="7"/>
  <c r="H57" i="5"/>
  <c r="H59" i="5" s="1"/>
  <c r="D41" i="5"/>
  <c r="E41" i="5" s="1"/>
  <c r="E45" i="5" s="1"/>
  <c r="C38" i="5"/>
  <c r="D44" i="5" s="1"/>
  <c r="D19" i="5"/>
  <c r="D15" i="5"/>
  <c r="C12" i="5"/>
  <c r="B24" i="5" s="1"/>
  <c r="B9" i="5"/>
  <c r="B10" i="5" s="1"/>
  <c r="C11" i="5" s="1"/>
  <c r="B23" i="5" s="1"/>
  <c r="D6" i="5"/>
  <c r="C16" i="5" s="1"/>
  <c r="E46" i="5" l="1"/>
  <c r="E47" i="5"/>
  <c r="E48" i="5" s="1"/>
  <c r="D33" i="7"/>
  <c r="J20" i="7"/>
  <c r="C39" i="5"/>
  <c r="D40" i="5" s="1"/>
  <c r="C18" i="5"/>
  <c r="C21" i="5" s="1"/>
  <c r="C17" i="5"/>
  <c r="D17" i="5" s="1"/>
  <c r="C33" i="5"/>
  <c r="D7" i="5"/>
  <c r="D45" i="5"/>
  <c r="D16" i="5"/>
  <c r="E112" i="4"/>
  <c r="H57" i="4"/>
  <c r="H59" i="4" s="1"/>
  <c r="D41" i="4"/>
  <c r="E41" i="4" s="1"/>
  <c r="E45" i="4" s="1"/>
  <c r="C38" i="4"/>
  <c r="D44" i="4" s="1"/>
  <c r="D19" i="4"/>
  <c r="D15" i="4"/>
  <c r="C12" i="4"/>
  <c r="B24" i="4" s="1"/>
  <c r="B9" i="4"/>
  <c r="B10" i="4" s="1"/>
  <c r="C11" i="4" s="1"/>
  <c r="B23" i="4" s="1"/>
  <c r="D6" i="4"/>
  <c r="C16" i="4" s="1"/>
  <c r="C18" i="4" s="1"/>
  <c r="E112" i="3"/>
  <c r="H57" i="3"/>
  <c r="H59" i="3" s="1"/>
  <c r="D41" i="3"/>
  <c r="E41" i="3" s="1"/>
  <c r="E45" i="3" s="1"/>
  <c r="C38" i="3"/>
  <c r="D44" i="3" s="1"/>
  <c r="D19" i="3"/>
  <c r="D15" i="3"/>
  <c r="C12" i="3"/>
  <c r="B24" i="3" s="1"/>
  <c r="B9" i="3"/>
  <c r="B10" i="3" s="1"/>
  <c r="C11" i="3" s="1"/>
  <c r="B23" i="3" s="1"/>
  <c r="D6" i="3"/>
  <c r="C33" i="3" s="1"/>
  <c r="E112" i="2"/>
  <c r="B9" i="2"/>
  <c r="E46" i="4" l="1"/>
  <c r="E47" i="4"/>
  <c r="E48" i="4" s="1"/>
  <c r="E46" i="3"/>
  <c r="E47" i="3"/>
  <c r="N20" i="7"/>
  <c r="L20" i="7"/>
  <c r="C39" i="4"/>
  <c r="D40" i="4" s="1"/>
  <c r="D45" i="4" s="1"/>
  <c r="D18" i="5"/>
  <c r="C22" i="5"/>
  <c r="C23" i="5" s="1"/>
  <c r="C24" i="5" s="1"/>
  <c r="D24" i="5" s="1"/>
  <c r="D21" i="5"/>
  <c r="C20" i="5"/>
  <c r="D20" i="5" s="1"/>
  <c r="D46" i="5"/>
  <c r="I48" i="5" s="1"/>
  <c r="D47" i="5"/>
  <c r="D48" i="5" s="1"/>
  <c r="D23" i="5"/>
  <c r="C33" i="4"/>
  <c r="D7" i="4"/>
  <c r="C22" i="4"/>
  <c r="C23" i="4" s="1"/>
  <c r="C24" i="4" s="1"/>
  <c r="D24" i="4" s="1"/>
  <c r="D18" i="4"/>
  <c r="C20" i="4"/>
  <c r="D16" i="4"/>
  <c r="C17" i="4"/>
  <c r="D17" i="4" s="1"/>
  <c r="C16" i="3"/>
  <c r="D16" i="3" s="1"/>
  <c r="C39" i="3"/>
  <c r="D40" i="3" s="1"/>
  <c r="D7" i="3"/>
  <c r="H57" i="2"/>
  <c r="H59" i="2" s="1"/>
  <c r="D41" i="2"/>
  <c r="E41" i="2" s="1"/>
  <c r="E45" i="2" s="1"/>
  <c r="C38" i="2"/>
  <c r="D44" i="2" s="1"/>
  <c r="D19" i="2"/>
  <c r="D15" i="2"/>
  <c r="C12" i="2"/>
  <c r="B24" i="2" s="1"/>
  <c r="B10" i="2"/>
  <c r="C11" i="2" s="1"/>
  <c r="B23" i="2" s="1"/>
  <c r="D6" i="2"/>
  <c r="E48" i="3" l="1"/>
  <c r="D23" i="4"/>
  <c r="E46" i="2"/>
  <c r="E47" i="2"/>
  <c r="E48" i="2" s="1"/>
  <c r="D20" i="4"/>
  <c r="C21" i="4"/>
  <c r="D21" i="4" s="1"/>
  <c r="D46" i="4"/>
  <c r="D47" i="4"/>
  <c r="D48" i="4" s="1"/>
  <c r="C17" i="3"/>
  <c r="D17" i="3" s="1"/>
  <c r="C18" i="3"/>
  <c r="D45" i="3"/>
  <c r="C33" i="2"/>
  <c r="D7" i="2"/>
  <c r="C16" i="2"/>
  <c r="C17" i="2" s="1"/>
  <c r="D17" i="2" s="1"/>
  <c r="C18" i="2"/>
  <c r="D18" i="2" s="1"/>
  <c r="C39" i="2"/>
  <c r="D40" i="2" s="1"/>
  <c r="I48" i="4" l="1"/>
  <c r="D16" i="2"/>
  <c r="I55" i="5"/>
  <c r="I54" i="5"/>
  <c r="I53" i="5"/>
  <c r="I52" i="5"/>
  <c r="I58" i="5"/>
  <c r="I51" i="5"/>
  <c r="I57" i="5"/>
  <c r="I56" i="5"/>
  <c r="C20" i="3"/>
  <c r="C22" i="3"/>
  <c r="C23" i="3" s="1"/>
  <c r="D18" i="3"/>
  <c r="D47" i="3"/>
  <c r="D46" i="3"/>
  <c r="C20" i="2"/>
  <c r="C22" i="2"/>
  <c r="C23" i="2" s="1"/>
  <c r="D45" i="2"/>
  <c r="I48" i="3" l="1"/>
  <c r="I59" i="5"/>
  <c r="I55" i="4"/>
  <c r="I53" i="4"/>
  <c r="I57" i="4"/>
  <c r="I56" i="4"/>
  <c r="I54" i="4"/>
  <c r="I52" i="4"/>
  <c r="I58" i="4"/>
  <c r="I51" i="4"/>
  <c r="C24" i="3"/>
  <c r="D24" i="3" s="1"/>
  <c r="D23" i="3"/>
  <c r="C21" i="3"/>
  <c r="D21" i="3" s="1"/>
  <c r="D20" i="3"/>
  <c r="I53" i="3"/>
  <c r="I52" i="3"/>
  <c r="I51" i="3"/>
  <c r="I57" i="3"/>
  <c r="I56" i="3"/>
  <c r="I55" i="3"/>
  <c r="I54" i="3"/>
  <c r="I58" i="3"/>
  <c r="D48" i="3"/>
  <c r="D20" i="2"/>
  <c r="C21" i="2"/>
  <c r="D21" i="2" s="1"/>
  <c r="C24" i="2"/>
  <c r="D24" i="2" s="1"/>
  <c r="D23" i="2"/>
  <c r="D47" i="2"/>
  <c r="D46" i="2"/>
  <c r="I61" i="5" l="1"/>
  <c r="I62" i="5" s="1"/>
  <c r="B22" i="5" s="1"/>
  <c r="D22" i="5" s="1"/>
  <c r="D25" i="5" s="1"/>
  <c r="I48" i="2"/>
  <c r="I51" i="2" s="1"/>
  <c r="I59" i="4"/>
  <c r="I59" i="3"/>
  <c r="D48" i="2"/>
  <c r="D28" i="5" l="1"/>
  <c r="D27" i="5"/>
  <c r="D29" i="5" s="1"/>
  <c r="I61" i="4"/>
  <c r="I62" i="4" s="1"/>
  <c r="B22" i="4" s="1"/>
  <c r="D22" i="4" s="1"/>
  <c r="D25" i="4" s="1"/>
  <c r="I61" i="3"/>
  <c r="I62" i="3" s="1"/>
  <c r="B22" i="3" s="1"/>
  <c r="D22" i="3" s="1"/>
  <c r="D25" i="3" s="1"/>
  <c r="I55" i="2"/>
  <c r="I58" i="2"/>
  <c r="I56" i="2"/>
  <c r="I52" i="2"/>
  <c r="I57" i="2"/>
  <c r="I53" i="2"/>
  <c r="I54" i="2"/>
  <c r="D27" i="3" l="1"/>
  <c r="D28" i="3"/>
  <c r="D28" i="4"/>
  <c r="D27" i="4"/>
  <c r="D30" i="5"/>
  <c r="D32" i="5" s="1"/>
  <c r="D29" i="3"/>
  <c r="D30" i="3" s="1"/>
  <c r="D32" i="3" s="1"/>
  <c r="I59" i="2"/>
  <c r="I61" i="2" l="1"/>
  <c r="I62" i="2" s="1"/>
  <c r="B22" i="2" s="1"/>
  <c r="D22" i="2" s="1"/>
  <c r="D25" i="2" s="1"/>
  <c r="D29" i="4"/>
  <c r="D30" i="4" s="1"/>
  <c r="D32" i="4" s="1"/>
  <c r="D33" i="4" s="1"/>
  <c r="D33" i="5"/>
  <c r="K11" i="5"/>
  <c r="D33" i="3"/>
  <c r="L10" i="3"/>
  <c r="L9" i="4" l="1"/>
  <c r="P9" i="4" s="1"/>
  <c r="D28" i="2"/>
  <c r="D27" i="2"/>
  <c r="O11" i="5"/>
  <c r="M11" i="5"/>
  <c r="P10" i="3"/>
  <c r="N10" i="3"/>
  <c r="D6" i="16"/>
  <c r="C32" i="16"/>
  <c r="C15" i="16"/>
  <c r="C17" i="16" s="1"/>
  <c r="N9" i="4" l="1"/>
  <c r="D29" i="2"/>
  <c r="D30" i="2" s="1"/>
  <c r="D32" i="2" s="1"/>
  <c r="I10" i="2" s="1"/>
  <c r="M10" i="2"/>
  <c r="K10" i="2"/>
  <c r="D33" i="2"/>
  <c r="C21" i="16"/>
  <c r="D17" i="16"/>
  <c r="C20" i="16"/>
  <c r="D15" i="16"/>
  <c r="C16" i="16"/>
  <c r="D16" i="16" s="1"/>
  <c r="C22" i="16" l="1"/>
  <c r="D21" i="16"/>
  <c r="C19" i="16"/>
  <c r="D19" i="16" s="1"/>
  <c r="D20" i="16"/>
  <c r="C23" i="16" l="1"/>
  <c r="D23" i="16" s="1"/>
  <c r="D22" i="16"/>
  <c r="D24" i="16" l="1"/>
  <c r="D27" i="16" l="1"/>
  <c r="D26" i="16"/>
  <c r="D28" i="16" l="1"/>
  <c r="D29" i="16" l="1"/>
  <c r="D31" i="16" s="1"/>
  <c r="D32" i="16" l="1"/>
  <c r="J10" i="16"/>
  <c r="L10" i="16" l="1"/>
  <c r="N10" i="16"/>
</calcChain>
</file>

<file path=xl/comments1.xml><?xml version="1.0" encoding="utf-8"?>
<comments xmlns="http://schemas.openxmlformats.org/spreadsheetml/2006/main">
  <authors>
    <author>Oscar Emil Soares</author>
  </authors>
  <commentList>
    <comment ref="D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10.xml><?xml version="1.0" encoding="utf-8"?>
<comments xmlns="http://schemas.openxmlformats.org/spreadsheetml/2006/main">
  <authors>
    <author>Oscar Emil Soares</author>
  </authors>
  <commentList>
    <comment ref="D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11.xml><?xml version="1.0" encoding="utf-8"?>
<comments xmlns="http://schemas.openxmlformats.org/spreadsheetml/2006/main">
  <authors>
    <author>Cliente</author>
    <author>Oscar Emil Soares</author>
  </authors>
  <commentList>
    <comment ref="B3" authorId="0" shapeId="0">
      <text>
        <r>
          <rPr>
            <b/>
            <sz val="9"/>
            <color indexed="81"/>
            <rFont val="Segoe UI"/>
            <charset val="1"/>
          </rPr>
          <t>Cliente:</t>
        </r>
        <r>
          <rPr>
            <sz val="9"/>
            <color indexed="81"/>
            <rFont val="Segoe UI"/>
            <charset val="1"/>
          </rPr>
          <t xml:space="preserve">
Média entre 3 dias a 108,5 km diários e 2 dias de 38,9 km diários 
</t>
        </r>
      </text>
    </comment>
    <comment ref="D56" authorId="1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6" authorId="1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6" authorId="1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2.xml><?xml version="1.0" encoding="utf-8"?>
<comments xmlns="http://schemas.openxmlformats.org/spreadsheetml/2006/main">
  <authors>
    <author>Oscar Emil Soares</author>
  </authors>
  <commentList>
    <comment ref="D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3.xml><?xml version="1.0" encoding="utf-8"?>
<comments xmlns="http://schemas.openxmlformats.org/spreadsheetml/2006/main">
  <authors>
    <author>Oscar Emil Soares</author>
  </authors>
  <commentList>
    <comment ref="D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4.xml><?xml version="1.0" encoding="utf-8"?>
<comments xmlns="http://schemas.openxmlformats.org/spreadsheetml/2006/main">
  <authors>
    <author>Oscar Emil Soares</author>
  </authors>
  <commentList>
    <comment ref="D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5.xml><?xml version="1.0" encoding="utf-8"?>
<comments xmlns="http://schemas.openxmlformats.org/spreadsheetml/2006/main">
  <authors>
    <author>Oscar Emil Soares</author>
  </authors>
  <commentList>
    <comment ref="D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6.xml><?xml version="1.0" encoding="utf-8"?>
<comments xmlns="http://schemas.openxmlformats.org/spreadsheetml/2006/main">
  <authors>
    <author>Oscar Emil Soares</author>
  </authors>
  <commentList>
    <comment ref="D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7.xml><?xml version="1.0" encoding="utf-8"?>
<comments xmlns="http://schemas.openxmlformats.org/spreadsheetml/2006/main">
  <authors>
    <author>Oscar Emil Soares</author>
  </authors>
  <commentList>
    <comment ref="D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8.xml><?xml version="1.0" encoding="utf-8"?>
<comments xmlns="http://schemas.openxmlformats.org/spreadsheetml/2006/main">
  <authors>
    <author>Oscar Emil Soares</author>
  </authors>
  <commentList>
    <comment ref="D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comments9.xml><?xml version="1.0" encoding="utf-8"?>
<comments xmlns="http://schemas.openxmlformats.org/spreadsheetml/2006/main">
  <authors>
    <author>Oscar Emil Soares</author>
  </authors>
  <commentList>
    <comment ref="D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Riscos Ambientais do Trabalho = 1%, 2% ou 3%. Depende do CNAE (Classificação Nacional de Atividade Econômica) da empresa.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Fator Acidentário de Prevenção (particular de cada empresa)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</rPr>
          <t>CAPP:</t>
        </r>
        <r>
          <rPr>
            <sz val="9"/>
            <color indexed="81"/>
            <rFont val="Tahoma"/>
            <family val="2"/>
          </rPr>
          <t xml:space="preserve">
vai de 0,5000 até 2,0000</t>
        </r>
      </text>
    </comment>
  </commentList>
</comments>
</file>

<file path=xl/sharedStrings.xml><?xml version="1.0" encoding="utf-8"?>
<sst xmlns="http://schemas.openxmlformats.org/spreadsheetml/2006/main" count="1368" uniqueCount="163">
  <si>
    <t>Item de custo</t>
  </si>
  <si>
    <t>custo/km</t>
  </si>
  <si>
    <t>Diesel</t>
  </si>
  <si>
    <t>Manutenção geral</t>
  </si>
  <si>
    <t>Salário motorista+encargos</t>
  </si>
  <si>
    <t>R$</t>
  </si>
  <si>
    <t>lubrificação mensal</t>
  </si>
  <si>
    <t>Planilha de custos</t>
  </si>
  <si>
    <t>valor R$</t>
  </si>
  <si>
    <t>Custo aquisição máquina</t>
  </si>
  <si>
    <t>Base cálculo para depreciação</t>
  </si>
  <si>
    <t>Vida útil e valor depreciação mês</t>
  </si>
  <si>
    <t>Depreciação</t>
  </si>
  <si>
    <t>Custo de oportunidade ano/mês</t>
  </si>
  <si>
    <t>Custo de oportunidade mês</t>
  </si>
  <si>
    <t>Sub-total</t>
  </si>
  <si>
    <t>Tributos incidentes sobre a nota</t>
  </si>
  <si>
    <t>Custos indiretos</t>
  </si>
  <si>
    <t xml:space="preserve">Lucro </t>
  </si>
  <si>
    <t>Cofins 3%; Pis 0,65%; ISSQN 3%</t>
  </si>
  <si>
    <t>IPVA/DPVAT anual</t>
  </si>
  <si>
    <t>produtividade/km</t>
  </si>
  <si>
    <t>Linha 1</t>
  </si>
  <si>
    <t>kms rodados por mês</t>
  </si>
  <si>
    <t>Custo direto por km</t>
  </si>
  <si>
    <t>Total final do preço por km</t>
  </si>
  <si>
    <t>Seguro passageiros-mensal</t>
  </si>
  <si>
    <t>Faturamento mensal</t>
  </si>
  <si>
    <t>Pneus 4</t>
  </si>
  <si>
    <t>4.1</t>
  </si>
  <si>
    <t>Encargos Previdenciários e FGTS</t>
  </si>
  <si>
    <t>Percentual (%)</t>
  </si>
  <si>
    <t>Valor (R$)</t>
  </si>
  <si>
    <t>A</t>
  </si>
  <si>
    <t>INSS</t>
  </si>
  <si>
    <t>B</t>
  </si>
  <si>
    <t>SESI ou SESC</t>
  </si>
  <si>
    <t>C</t>
  </si>
  <si>
    <t>SENAI ou SENAC</t>
  </si>
  <si>
    <t>D</t>
  </si>
  <si>
    <t>INCRA</t>
  </si>
  <si>
    <t>E</t>
  </si>
  <si>
    <t>Salário educação</t>
  </si>
  <si>
    <t>F</t>
  </si>
  <si>
    <t>FGTS</t>
  </si>
  <si>
    <t>G</t>
  </si>
  <si>
    <r>
      <t xml:space="preserve">Seguro Acidente de Trabalho =                          SAT = (RAT x FAP)
</t>
    </r>
    <r>
      <rPr>
        <sz val="10"/>
        <color indexed="10"/>
        <rFont val="Arial"/>
        <family val="2"/>
      </rPr>
      <t>SAT =</t>
    </r>
    <r>
      <rPr>
        <b/>
        <sz val="10"/>
        <color indexed="10"/>
        <rFont val="Arial"/>
        <family val="2"/>
      </rPr>
      <t xml:space="preserve"> </t>
    </r>
    <r>
      <rPr>
        <b/>
        <sz val="8"/>
        <color indexed="10"/>
        <rFont val="Arial"/>
        <family val="2"/>
      </rPr>
      <t>( %Riscos Ambientais do Trabalho x Fator Acidentário de Prevenção de cada empresa )</t>
    </r>
  </si>
  <si>
    <t>RAT =</t>
  </si>
  <si>
    <t xml:space="preserve"> FAP =</t>
  </si>
  <si>
    <t>H</t>
  </si>
  <si>
    <t>SEBRAE</t>
  </si>
  <si>
    <t>TOTAL</t>
  </si>
  <si>
    <t>Insalubridade</t>
  </si>
  <si>
    <t>Vale transporte</t>
  </si>
  <si>
    <t>Vale alimentação</t>
  </si>
  <si>
    <t>Custo total remuneração</t>
  </si>
  <si>
    <t>Provisão 13º salário</t>
  </si>
  <si>
    <t>Provisão férias</t>
  </si>
  <si>
    <t>Custo total mensal com provisões</t>
  </si>
  <si>
    <t>Custo base para encargos</t>
  </si>
  <si>
    <t>Custo base funcionário</t>
  </si>
  <si>
    <t>índice de incidência ref. Utilização funcionário no contrato do município</t>
  </si>
  <si>
    <t>Detalhamento da Composição dos salários</t>
  </si>
  <si>
    <t>Custo total salárial</t>
  </si>
  <si>
    <t>DECLARAÇÕES QUE A EMPRESA LICITANTE DEVE FAZER:</t>
  </si>
  <si>
    <t>A empresa é otante pelo seguinte regime de tributação e recolhe, atualmente, as seguintes alíquotas de tributos:</t>
  </si>
  <si>
    <t>(     ) a) Lucro presumido, recolhendo: Cofins (       %); Pis (       %); IRPJ (        %); CSLL (       %). Após contratar com a prefeitura manterá estas alíquotas; (caso ocorrer alteração nas alíquotas, as mesmas serão as seguintes .......</t>
  </si>
  <si>
    <t>(     ) b) Lucro real, recolhendo: Cofins (       %); Pis (       %); IRPJ (        %); CSLL (       %). Após contratar com a prefeitura manterá estas alíquotas; (caso ocorrer alteração nas alíquotas, as mesmas serão as seguintes .......</t>
  </si>
  <si>
    <t>(     ) c) Simples nacional, recolhendo a alíquota atual de (       %), estando enquandrado no anexo (        );  Com este contrato a empresa passará a recolher aliquota (        %) e passará para o anexo (        ), não se desenquadrará do simples nacional. (OU) Após assinatura do contrato a empresa se descredenciará do simples e passará para a tributação do ..................</t>
  </si>
  <si>
    <t>Observação:</t>
  </si>
  <si>
    <t>Cada empresa é responsável por incluir em sua planilha de custos, os enquadramentos tributários, trabalhistas e previdenciários, de acordo com a realidade tributária e funcional de seu quadro de funcionários. Desta forma, a planilha de custos disponibilizada pela prefeitura representa, apenas, um MODELO REFERENCIAL, e que impõe um limite máximo de valores para a proposta apresentada.</t>
  </si>
  <si>
    <t>Destaca-se, que cada empresa possui a sua realidade tributária e funcional, o município não tem como prever todas as possibilidades de enquadramento funcionais, que são baseadas em acordos sindicais e na legislação trabalhista como um todo.</t>
  </si>
  <si>
    <t>Além disso, para cada cargo ou ambiente de trabalho funcional, alteram-se as condições e enquadramentos, como por exemplo: de insalubridade e EPI (depende do laudo de condições ambientais de trabalho para cada cargo e para cada local de trabalho); Situação de enquadramento tributária e previdenciária (se a empresa é optante pelo simples nacional, lucro presumido ou lucro real);</t>
  </si>
  <si>
    <t>Por fim, as condições e regras de trabalho também são disciplinadas pelos acordos coletivos de trabalho, os quais, a empresa deve observar.</t>
  </si>
  <si>
    <t>Portanto, baseado nestes aspectos, cabe a empresa identificar quais os enquadramentos trabalhistas e tributários corretos para a situação licitada. Ao final do pleito licitatório, ou mesmo, no decorrer da execução contratual, se o município verificar, por meio de recursos à licitação ou denúncias recebidas durante a execução contratual, que no momento da elaboração da proposta e da planilha de custos final, a empresa apresentou um item de custos (na planilha de custos final) diferente do que é exigido na convenção coletiva sindical ou em qualquer legislação trabalhista, visando reduzir o valor de sua proposta financeira, o município poderá considerar tal fato, como uso de má fé por parte da empresa.</t>
  </si>
  <si>
    <t>Assim, com esta prova de má fé por parte do licitante, o município poderá desabilitar a empresa durante o processo licitatório, ou mesmo, rescindir o contrato em vigor, pelo bem do serviço público.</t>
  </si>
  <si>
    <t>Como no Brasil existem muitos sindicatos, cabe a empresa apontar em qual dissídio e sindicato, seus colaboradores serão enquadrados, observando-se as regras dos mesmos.</t>
  </si>
  <si>
    <t>kms rodados por dia</t>
  </si>
  <si>
    <t xml:space="preserve">dias por mês </t>
  </si>
  <si>
    <t>Salário base cfe convenção coletiva para 220 hs</t>
  </si>
  <si>
    <t>Salário base para 200 horas</t>
  </si>
  <si>
    <t>Desconto alimentação cfe cct</t>
  </si>
  <si>
    <t>Desconto transporte</t>
  </si>
  <si>
    <t>Linha 2</t>
  </si>
  <si>
    <t>Estimado conforme pesquisas em postos de combustível da cidade. Como o valor varia bastante, e com frequência, utilizasse como base o valor de bomba do dia, estimando-se conforme a expectativa futura de variação de preços.</t>
  </si>
  <si>
    <t>Estimativa baseada em informação de oficina mecânica especializada</t>
  </si>
  <si>
    <t>Conforme dissídio trabalhista da categoria. Detalhamento abaixo.</t>
  </si>
  <si>
    <t>Código tributário nacional</t>
  </si>
  <si>
    <t>Estimatva do mercado local</t>
  </si>
  <si>
    <t>Cálculo técnico contábil</t>
  </si>
  <si>
    <t>Segue a tabela da receita federal</t>
  </si>
  <si>
    <t>Estimativa baseada em histórico e estatísticas do setor</t>
  </si>
  <si>
    <t>Pesquisa de preços na internet, para o modelo de pneu do veículo</t>
  </si>
  <si>
    <t>pesquisa de mercado dos pneus</t>
  </si>
  <si>
    <t>Oleo lubrificante para motor, 15w40</t>
  </si>
  <si>
    <t>Depende o carro, vai de 7 a 10 litros de oleo, em cada troca, mais o filtro de oleo, mais o serviço de troca</t>
  </si>
  <si>
    <t>Estimativa baseada em informação de oficina mecânica especializada e pesquisa de preços do oleo na internet. Mais o serviço de engrachar eixos e rolamentos</t>
  </si>
  <si>
    <t>Informação de seguradora, baseado em consulta por fone</t>
  </si>
  <si>
    <t>Pesquisas de preço realizadas e comprovantes anexos:</t>
  </si>
  <si>
    <t>Cabe ressaltar que a planilha de custos elaborada pelo município é um MODELO REFERENCIAL. Por causa disso, se adota preços e valores médios de mercado.</t>
  </si>
  <si>
    <t>Não se usa por base um veículo especifico, mas sim, uma média que pode ser adotada por qualquer veículo, e ajustada em sua planilha de proposta, posteriormente.</t>
  </si>
  <si>
    <t>Não se pode e não se quer direcionar para um veículo em específico.</t>
  </si>
  <si>
    <t>Cabe a empresa vencedora apresentar sua proposta adequada a seu veículo.</t>
  </si>
  <si>
    <t>Portanto, os valores podem e IRÃO variar postoreriormente, conforme o veículo a ser utilizado pela empresa.</t>
  </si>
  <si>
    <t xml:space="preserve">Pesquisa de preços na internet, considerando o tipo do veículo, capacidade de carga, e limite de anos de utilização. Em média se utiliza preço de veículo com 8 a 12 anos de uso. </t>
  </si>
  <si>
    <t>Baseado no % da selic da época, divulgado pelo COMPOM</t>
  </si>
  <si>
    <t>Rastreador veicular. Valor mensal por veículo</t>
  </si>
  <si>
    <t>Rastreador veicular</t>
  </si>
  <si>
    <t>Conforme boleto mensal de rastreador veicular</t>
  </si>
  <si>
    <t xml:space="preserve">rastreador veicular </t>
  </si>
  <si>
    <t>kms rodados por ano - 10 meses</t>
  </si>
  <si>
    <t>kms rodados por ano em 10 meses</t>
  </si>
  <si>
    <t>Pesquisa de preços na internet, considerando o tipo do veículo, capacidade de carga, e limite de anos de utilização. Fontes dos preços ao final da planilha.</t>
  </si>
  <si>
    <t xml:space="preserve">Valores referenciais para aquisição do veículo: considerou-se veículos com ano mínimo de 2009. </t>
  </si>
  <si>
    <t>Pneus 6</t>
  </si>
  <si>
    <t>Preço médio</t>
  </si>
  <si>
    <t>para 6 pneus</t>
  </si>
  <si>
    <t>onibus 40 lugares transporte</t>
  </si>
  <si>
    <t>Valores referenciais para aquisição do veículo: considerou-se veículos com ano mínimo de 2009. 
Para comportar 40 passageiros, o veículo correto deverá ser um ônibus. Buscou-se o veículo mais indicado para as estradas não pavimentadas.</t>
  </si>
  <si>
    <t>van 24 lugares transporte</t>
  </si>
  <si>
    <t>https://veiculo.mercadolivre.com.br/MLB-5134688990-micro-urbano-ano-2014-volkswagen-9160-ibrava-24-lugares-_JM#polycard_client=search-nordic&amp;position=9&amp;search_layout=grid&amp;type=item&amp;tracking_id=33f68ac6-82e9-4022-bcfe-22101ead4946</t>
  </si>
  <si>
    <t>https://veiculo.mercadolivre.com.br/MLB-5231053740-micronibus-volks-9-160-ano-2014-motor-cumins-24-lug-_JM#polycard_client=search-nordic&amp;position=8&amp;search_layout=grid&amp;type=item&amp;tracking_id=75b61e5b-6003-4853-b46d-6ddb48ac855e</t>
  </si>
  <si>
    <t>https://veiculo.mercadolivre.com.br/MLB-3986231327-volare-w8-2017-com-ar-28-lugares-_JM#polycard_client=search-nordic&amp;position=4&amp;search_layout=grid&amp;type=item&amp;tracking_id=85b21d35-4d16-40bc-8381-9b853e8e59ab</t>
  </si>
  <si>
    <t>Média de valores: R$222.663,33</t>
  </si>
  <si>
    <t>Valor residual 30%</t>
  </si>
  <si>
    <t>Preço médio de R$ 734,82 por pneu. Para 4 pneus R$ 2.940,00</t>
  </si>
  <si>
    <t>onibus 48 lugares transporte</t>
  </si>
  <si>
    <t>Valores referenciais para aquisição do veículo: considerou-se veículos com ano mínimo de 2009. 
Para comportar 48 passageiros, o veículo correto deverá ser um ônibus. Buscou-se o veículo mais indicado para as estradas não pavimentadas.</t>
  </si>
  <si>
    <t>Média de valores: R$196.600,00</t>
  </si>
  <si>
    <t xml:space="preserve">Pneu 275 80 22.5 </t>
  </si>
  <si>
    <t>Linha 3</t>
  </si>
  <si>
    <t>Linha 4</t>
  </si>
  <si>
    <t>Linha 5</t>
  </si>
  <si>
    <t>Preço médio de R$877,97 para 4 pneus</t>
  </si>
  <si>
    <t>https://carro.mercadolivre.com.br/MLB-5203202618-im-benz-515-sprinter-_JM#polycard_client=search-nordic&amp;position=5&amp;search_layout=grid&amp;type=item&amp;tracking_id=c3a83267-9788-4830-9dbd-567991eae768</t>
  </si>
  <si>
    <t>https://carro.mercadolivre.com.br/MLB-3962855911-van-renault-master-l2h2-2015-escolar-20-lugares-completa-_JM#polycard_client=search-nordic&amp;position=5&amp;search_layout=grid&amp;type=item&amp;tracking_id=c3195af4-952b-4cbb-be7c-6290d9d8847e</t>
  </si>
  <si>
    <t>https://carro.mercadolivre.com.br/MLB-5271258888-van-renault-master-l3h2-2014-escolar-24-lugares-nibus-_JM#polycard_client=search-nordic&amp;position=8&amp;search_layout=grid&amp;type=item&amp;tracking_id=109999bc-0052-452c-b59d-ded8a6ce94d0</t>
  </si>
  <si>
    <t>Média de valores: R$ 161600,00</t>
  </si>
  <si>
    <t>Linha 7</t>
  </si>
  <si>
    <t>Linha 6</t>
  </si>
  <si>
    <t>Média de valores: R$ 153.966,00</t>
  </si>
  <si>
    <t xml:space="preserve">Valores referenciais para aquisição do veículo: considerou-se veículos com ano mínimo de 2013. </t>
  </si>
  <si>
    <t>Média de valores: R$233.300,00</t>
  </si>
  <si>
    <t>Micro onibus 30 lugares transporte</t>
  </si>
  <si>
    <t>van 12 lugares transporte</t>
  </si>
  <si>
    <t>Linha 9</t>
  </si>
  <si>
    <t>Linha 10</t>
  </si>
  <si>
    <t>Linha  8</t>
  </si>
  <si>
    <t>van 18 lugares transporte</t>
  </si>
  <si>
    <t>van 21 lugares transporte</t>
  </si>
  <si>
    <t>Linha 11</t>
  </si>
  <si>
    <t>van 5 lugares transporte</t>
  </si>
  <si>
    <t>SINDICATO TRAB TRANSP ROD INTERM INTEREST TUR FRET DO R, CNPJ n. 94.067.758/0001-90, MTE: RS004490/2025</t>
  </si>
  <si>
    <t>motorista</t>
  </si>
  <si>
    <t>monitor</t>
  </si>
  <si>
    <t>Max. dia adimitido por mes</t>
  </si>
  <si>
    <t xml:space="preserve">Max. dias admitidos mês </t>
  </si>
  <si>
    <t>Max, dias admitidos mês</t>
  </si>
  <si>
    <t>valor diario</t>
  </si>
  <si>
    <t xml:space="preserve">valor mensal </t>
  </si>
  <si>
    <t xml:space="preserve">valor ano </t>
  </si>
  <si>
    <t>Pesquisa de mercado do valor do diesel através do APP Menor Preço Nota Fiscal Gaúcha - Rosário do Sul 
atualizada - 10/06/2026</t>
  </si>
  <si>
    <t xml:space="preserve">kms rodados por dia (média)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</si>
</sst>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&quot;R$&quot;\ #,##0.00;[Red]\-&quot;R$&quot;\ #,##0.00"/>
    <numFmt numFmtId="43" formatCode="_-* #,##0.00_-;\-* #,##0.00_-;_-* &quot;-&quot;??_-;_-@_-"/>
    <numFmt numFmtId="164" formatCode="&quot;R$&quot;\ #,##0.00;[Red]&quot;R$&quot;\ \-#,##0.00"/>
    <numFmt numFmtId="165" formatCode="_ * #,##0.00_ ;_ * \-#,##0.00_ ;_ * &quot;-&quot;??_ ;_ @_ "/>
    <numFmt numFmtId="166" formatCode="_(* #,##0.00_);_(* \(#,##0.00\);_(* &quot;-&quot;??_);_(@_)"/>
    <numFmt numFmtId="167" formatCode="0.0000"/>
    <numFmt numFmtId="168" formatCode="0.0000%"/>
    <numFmt numFmtId="169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rgb="FF404040"/>
      <name val="Arial"/>
      <family val="2"/>
    </font>
    <font>
      <sz val="11"/>
      <color rgb="FF00000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4" fillId="0" borderId="0" applyNumberFormat="0" applyFill="0" applyBorder="0" applyAlignment="0" applyProtection="0"/>
  </cellStyleXfs>
  <cellXfs count="111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1" applyFont="1" applyBorder="1"/>
    <xf numFmtId="0" fontId="3" fillId="0" borderId="1" xfId="0" applyFont="1" applyBorder="1"/>
    <xf numFmtId="166" fontId="3" fillId="0" borderId="1" xfId="0" applyNumberFormat="1" applyFont="1" applyBorder="1"/>
    <xf numFmtId="43" fontId="3" fillId="0" borderId="0" xfId="1" applyFont="1" applyAlignment="1">
      <alignment horizontal="center"/>
    </xf>
    <xf numFmtId="43" fontId="3" fillId="0" borderId="0" xfId="0" applyNumberFormat="1" applyFont="1" applyAlignment="1">
      <alignment horizontal="center"/>
    </xf>
    <xf numFmtId="43" fontId="0" fillId="0" borderId="1" xfId="0" applyNumberFormat="1" applyBorder="1"/>
    <xf numFmtId="0" fontId="2" fillId="0" borderId="0" xfId="0" applyFont="1"/>
    <xf numFmtId="9" fontId="0" fillId="0" borderId="1" xfId="0" applyNumberFormat="1" applyBorder="1"/>
    <xf numFmtId="0" fontId="2" fillId="0" borderId="1" xfId="0" applyFont="1" applyBorder="1"/>
    <xf numFmtId="43" fontId="2" fillId="0" borderId="1" xfId="0" applyNumberFormat="1" applyFont="1" applyBorder="1"/>
    <xf numFmtId="10" fontId="0" fillId="0" borderId="1" xfId="0" applyNumberFormat="1" applyBorder="1"/>
    <xf numFmtId="10" fontId="3" fillId="0" borderId="0" xfId="0" applyNumberFormat="1" applyFont="1" applyAlignment="1">
      <alignment horizontal="center"/>
    </xf>
    <xf numFmtId="0" fontId="0" fillId="0" borderId="1" xfId="0" applyFill="1" applyBorder="1"/>
    <xf numFmtId="43" fontId="0" fillId="0" borderId="0" xfId="0" applyNumberFormat="1"/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10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167" fontId="3" fillId="3" borderId="1" xfId="0" applyNumberFormat="1" applyFont="1" applyFill="1" applyBorder="1" applyAlignment="1">
      <alignment horizontal="center" vertical="center" wrapText="1"/>
    </xf>
    <xf numFmtId="168" fontId="3" fillId="0" borderId="1" xfId="0" applyNumberFormat="1" applyFont="1" applyBorder="1" applyAlignment="1">
      <alignment horizontal="right" vertical="center"/>
    </xf>
    <xf numFmtId="16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horizontal="right" vertical="center"/>
    </xf>
    <xf numFmtId="43" fontId="2" fillId="0" borderId="0" xfId="0" applyNumberFormat="1" applyFont="1"/>
    <xf numFmtId="43" fontId="2" fillId="0" borderId="1" xfId="1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11" fillId="4" borderId="0" xfId="2" applyFont="1" applyFill="1"/>
    <xf numFmtId="0" fontId="10" fillId="4" borderId="0" xfId="2" applyFill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NumberFormat="1" applyFont="1" applyFill="1" applyBorder="1" applyAlignment="1">
      <alignment horizontal="left" vertical="top"/>
    </xf>
    <xf numFmtId="0" fontId="1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left" wrapText="1"/>
    </xf>
    <xf numFmtId="1" fontId="0" fillId="0" borderId="0" xfId="0" applyNumberFormat="1"/>
    <xf numFmtId="169" fontId="3" fillId="0" borderId="0" xfId="0" applyNumberFormat="1" applyFont="1" applyAlignment="1">
      <alignment horizontal="center"/>
    </xf>
    <xf numFmtId="0" fontId="14" fillId="0" borderId="0" xfId="3"/>
    <xf numFmtId="0" fontId="0" fillId="0" borderId="0" xfId="0" applyBorder="1"/>
    <xf numFmtId="0" fontId="14" fillId="0" borderId="8" xfId="3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8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0" fillId="0" borderId="0" xfId="1" applyFont="1"/>
    <xf numFmtId="164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0" fontId="0" fillId="0" borderId="1" xfId="1" applyNumberFormat="1" applyFont="1" applyBorder="1"/>
    <xf numFmtId="0" fontId="3" fillId="0" borderId="0" xfId="0" applyFont="1" applyAlignment="1">
      <alignment horizontal="center"/>
    </xf>
    <xf numFmtId="43" fontId="0" fillId="0" borderId="2" xfId="0" applyNumberFormat="1" applyBorder="1"/>
    <xf numFmtId="0" fontId="0" fillId="0" borderId="2" xfId="0" applyBorder="1"/>
    <xf numFmtId="43" fontId="2" fillId="0" borderId="2" xfId="0" applyNumberFormat="1" applyFont="1" applyBorder="1"/>
    <xf numFmtId="43" fontId="0" fillId="0" borderId="2" xfId="1" applyFont="1" applyBorder="1"/>
    <xf numFmtId="165" fontId="0" fillId="0" borderId="1" xfId="0" applyNumberFormat="1" applyBorder="1"/>
    <xf numFmtId="165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0" fillId="0" borderId="0" xfId="0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8" xfId="0" applyBorder="1" applyAlignment="1"/>
    <xf numFmtId="0" fontId="3" fillId="0" borderId="0" xfId="0" applyFont="1" applyAlignment="1">
      <alignment horizontal="left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43" fontId="0" fillId="0" borderId="1" xfId="0" applyNumberFormat="1" applyBorder="1" applyAlignment="1">
      <alignment horizontal="center"/>
    </xf>
    <xf numFmtId="0" fontId="15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43" fontId="0" fillId="0" borderId="0" xfId="0" applyNumberFormat="1" applyBorder="1" applyAlignment="1">
      <alignment horizontal="center"/>
    </xf>
  </cellXfs>
  <cellStyles count="4">
    <cellStyle name="Excel Built-in Normal" xfId="2"/>
    <cellStyle name="Hiperlink" xfId="3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1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1.png"/><Relationship Id="rId1" Type="http://schemas.openxmlformats.org/officeDocument/2006/relationships/image" Target="../media/image2.png"/><Relationship Id="rId6" Type="http://schemas.openxmlformats.org/officeDocument/2006/relationships/image" Target="../media/image6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6.png"/><Relationship Id="rId2" Type="http://schemas.openxmlformats.org/officeDocument/2006/relationships/image" Target="../media/image7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6.png"/><Relationship Id="rId2" Type="http://schemas.openxmlformats.org/officeDocument/2006/relationships/image" Target="../media/image7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7" Type="http://schemas.openxmlformats.org/officeDocument/2006/relationships/image" Target="../media/image6.png"/><Relationship Id="rId2" Type="http://schemas.openxmlformats.org/officeDocument/2006/relationships/image" Target="../media/image7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1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7" Type="http://schemas.openxmlformats.org/officeDocument/2006/relationships/image" Target="../media/image6.png"/><Relationship Id="rId2" Type="http://schemas.openxmlformats.org/officeDocument/2006/relationships/image" Target="../media/image12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1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7" Type="http://schemas.openxmlformats.org/officeDocument/2006/relationships/image" Target="../media/image6.png"/><Relationship Id="rId2" Type="http://schemas.openxmlformats.org/officeDocument/2006/relationships/image" Target="../media/image12.png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openxmlformats.org/officeDocument/2006/relationships/image" Target="../media/image10.png"/><Relationship Id="rId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114</xdr:row>
      <xdr:rowOff>0</xdr:rowOff>
    </xdr:from>
    <xdr:to>
      <xdr:col>4</xdr:col>
      <xdr:colOff>1431536</xdr:colOff>
      <xdr:row>126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58220"/>
          <a:ext cx="6315956" cy="2232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07386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519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5</xdr:col>
      <xdr:colOff>467715</xdr:colOff>
      <xdr:row>167</xdr:row>
      <xdr:rowOff>83820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1981140"/>
          <a:ext cx="7097115" cy="24612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11</xdr:col>
      <xdr:colOff>248126</xdr:colOff>
      <xdr:row>167</xdr:row>
      <xdr:rowOff>106680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0" y="31981140"/>
          <a:ext cx="3410426" cy="248412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172</xdr:row>
      <xdr:rowOff>7620</xdr:rowOff>
    </xdr:from>
    <xdr:to>
      <xdr:col>11</xdr:col>
      <xdr:colOff>38100</xdr:colOff>
      <xdr:row>185</xdr:row>
      <xdr:rowOff>168246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240" y="3418332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16708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452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22861</xdr:rowOff>
    </xdr:from>
    <xdr:to>
      <xdr:col>6</xdr:col>
      <xdr:colOff>320040</xdr:colOff>
      <xdr:row>128</xdr:row>
      <xdr:rowOff>114301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974301"/>
          <a:ext cx="7559040" cy="2651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11</xdr:col>
      <xdr:colOff>22860</xdr:colOff>
      <xdr:row>173</xdr:row>
      <xdr:rowOff>160626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8292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130</xdr:row>
      <xdr:rowOff>106680</xdr:rowOff>
    </xdr:from>
    <xdr:to>
      <xdr:col>3</xdr:col>
      <xdr:colOff>91440</xdr:colOff>
      <xdr:row>145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616708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114300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xmlns="" id="{00000000-0008-0000-0A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452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113</xdr:row>
      <xdr:rowOff>22861</xdr:rowOff>
    </xdr:from>
    <xdr:to>
      <xdr:col>6</xdr:col>
      <xdr:colOff>198120</xdr:colOff>
      <xdr:row>127</xdr:row>
      <xdr:rowOff>114301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2974301"/>
          <a:ext cx="7559040" cy="2651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171</xdr:row>
      <xdr:rowOff>0</xdr:rowOff>
    </xdr:from>
    <xdr:to>
      <xdr:col>10</xdr:col>
      <xdr:colOff>510540</xdr:colOff>
      <xdr:row>184</xdr:row>
      <xdr:rowOff>160626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8292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114300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xmlns="" id="{00000000-0008-0000-0A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0</xdr:rowOff>
    </xdr:from>
    <xdr:to>
      <xdr:col>5</xdr:col>
      <xdr:colOff>345795</xdr:colOff>
      <xdr:row>166</xdr:row>
      <xdr:rowOff>83820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xmlns="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30883860"/>
          <a:ext cx="7097115" cy="24612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153</xdr:row>
      <xdr:rowOff>0</xdr:rowOff>
    </xdr:from>
    <xdr:to>
      <xdr:col>11</xdr:col>
      <xdr:colOff>248126</xdr:colOff>
      <xdr:row>166</xdr:row>
      <xdr:rowOff>106680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xmlns="" id="{00000000-0008-0000-0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39000" y="30883860"/>
          <a:ext cx="3410426" cy="2484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114300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xmlns="" id="{00000000-0008-0000-0A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1</xdr:col>
      <xdr:colOff>244053</xdr:colOff>
      <xdr:row>106</xdr:row>
      <xdr:rowOff>15479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129</xdr:row>
      <xdr:rowOff>114300</xdr:rowOff>
    </xdr:from>
    <xdr:to>
      <xdr:col>2</xdr:col>
      <xdr:colOff>648789</xdr:colOff>
      <xdr:row>144</xdr:row>
      <xdr:rowOff>7620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55342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121919</xdr:rowOff>
    </xdr:to>
    <xdr:sp macro="" textlink="">
      <xdr:nvSpPr>
        <xdr:cNvPr id="2053" name="AutoShape 5" descr="blob:https://web.whatsapp.com/c926b201-3171-40d5-8d09-f5e24b06ad2d">
          <a:extLst>
            <a:ext uri="{FF2B5EF4-FFF2-40B4-BE49-F238E27FC236}">
              <a16:creationId xmlns:a16="http://schemas.microsoft.com/office/drawing/2014/main" xmlns="" id="{00000000-0008-0000-0100-000005080000}"/>
            </a:ext>
          </a:extLst>
        </xdr:cNvPr>
        <xdr:cNvSpPr>
          <a:spLocks noChangeAspect="1" noChangeArrowheads="1"/>
        </xdr:cNvSpPr>
      </xdr:nvSpPr>
      <xdr:spPr bwMode="auto">
        <a:xfrm>
          <a:off x="0" y="1988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6626</xdr:colOff>
      <xdr:row>147</xdr:row>
      <xdr:rowOff>6626</xdr:rowOff>
    </xdr:from>
    <xdr:to>
      <xdr:col>8</xdr:col>
      <xdr:colOff>304800</xdr:colOff>
      <xdr:row>150</xdr:row>
      <xdr:rowOff>11943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9809" y="30698661"/>
          <a:ext cx="5294243" cy="2172048"/>
        </a:xfrm>
        <a:prstGeom prst="rect">
          <a:avLst/>
        </a:prstGeom>
      </xdr:spPr>
    </xdr:pic>
    <xdr:clientData/>
  </xdr:twoCellAnchor>
  <xdr:twoCellAnchor editAs="oneCell">
    <xdr:from>
      <xdr:col>7</xdr:col>
      <xdr:colOff>125896</xdr:colOff>
      <xdr:row>146</xdr:row>
      <xdr:rowOff>139147</xdr:rowOff>
    </xdr:from>
    <xdr:to>
      <xdr:col>11</xdr:col>
      <xdr:colOff>72887</xdr:colOff>
      <xdr:row>149</xdr:row>
      <xdr:rowOff>127064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59757" y="30645651"/>
          <a:ext cx="2564295" cy="2154647"/>
        </a:xfrm>
        <a:prstGeom prst="rect">
          <a:avLst/>
        </a:prstGeom>
      </xdr:spPr>
    </xdr:pic>
    <xdr:clientData/>
  </xdr:twoCellAnchor>
  <xdr:twoCellAnchor editAs="oneCell">
    <xdr:from>
      <xdr:col>10</xdr:col>
      <xdr:colOff>576471</xdr:colOff>
      <xdr:row>144</xdr:row>
      <xdr:rowOff>152400</xdr:rowOff>
    </xdr:from>
    <xdr:to>
      <xdr:col>14</xdr:col>
      <xdr:colOff>145775</xdr:colOff>
      <xdr:row>150</xdr:row>
      <xdr:rowOff>33130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1532" y="30287843"/>
          <a:ext cx="2007704" cy="26040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1</xdr:rowOff>
    </xdr:from>
    <xdr:to>
      <xdr:col>4</xdr:col>
      <xdr:colOff>358588</xdr:colOff>
      <xdr:row>126</xdr:row>
      <xdr:rowOff>165653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384001"/>
          <a:ext cx="6011114" cy="25775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114301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155</xdr:row>
      <xdr:rowOff>0</xdr:rowOff>
    </xdr:from>
    <xdr:to>
      <xdr:col>7</xdr:col>
      <xdr:colOff>450480</xdr:colOff>
      <xdr:row>168</xdr:row>
      <xdr:rowOff>126171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2182904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114301</xdr:rowOff>
    </xdr:to>
    <xdr:sp macro="" textlink="">
      <xdr:nvSpPr>
        <xdr:cNvPr id="20" name="AutoShape 4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4" name="AutoShape 4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244053</xdr:colOff>
      <xdr:row>105</xdr:row>
      <xdr:rowOff>15479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129</xdr:row>
      <xdr:rowOff>114300</xdr:rowOff>
    </xdr:from>
    <xdr:to>
      <xdr:col>3</xdr:col>
      <xdr:colOff>213360</xdr:colOff>
      <xdr:row>144</xdr:row>
      <xdr:rowOff>7621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142440"/>
          <a:ext cx="4373880" cy="2636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121920</xdr:rowOff>
    </xdr:to>
    <xdr:sp macro="" textlink="">
      <xdr:nvSpPr>
        <xdr:cNvPr id="4" name="AutoShape 5" descr="blob:https://web.whatsapp.com/c926b201-3171-40d5-8d09-f5e24b06ad2d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88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6626</xdr:colOff>
      <xdr:row>147</xdr:row>
      <xdr:rowOff>6626</xdr:rowOff>
    </xdr:from>
    <xdr:to>
      <xdr:col>11</xdr:col>
      <xdr:colOff>76531</xdr:colOff>
      <xdr:row>158</xdr:row>
      <xdr:rowOff>164344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9146" y="30326606"/>
          <a:ext cx="5297225" cy="2169398"/>
        </a:xfrm>
        <a:prstGeom prst="rect">
          <a:avLst/>
        </a:prstGeom>
      </xdr:spPr>
    </xdr:pic>
    <xdr:clientData/>
  </xdr:twoCellAnchor>
  <xdr:twoCellAnchor editAs="oneCell">
    <xdr:from>
      <xdr:col>7</xdr:col>
      <xdr:colOff>125896</xdr:colOff>
      <xdr:row>146</xdr:row>
      <xdr:rowOff>139147</xdr:rowOff>
    </xdr:from>
    <xdr:to>
      <xdr:col>11</xdr:col>
      <xdr:colOff>76531</xdr:colOff>
      <xdr:row>158</xdr:row>
      <xdr:rowOff>96583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2076" y="30276247"/>
          <a:ext cx="2564295" cy="2151996"/>
        </a:xfrm>
        <a:prstGeom prst="rect">
          <a:avLst/>
        </a:prstGeom>
      </xdr:spPr>
    </xdr:pic>
    <xdr:clientData/>
  </xdr:twoCellAnchor>
  <xdr:twoCellAnchor editAs="oneCell">
    <xdr:from>
      <xdr:col>10</xdr:col>
      <xdr:colOff>576471</xdr:colOff>
      <xdr:row>144</xdr:row>
      <xdr:rowOff>152400</xdr:rowOff>
    </xdr:from>
    <xdr:to>
      <xdr:col>14</xdr:col>
      <xdr:colOff>145775</xdr:colOff>
      <xdr:row>159</xdr:row>
      <xdr:rowOff>2650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3851" y="29923740"/>
          <a:ext cx="2007704" cy="25934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1</xdr:rowOff>
    </xdr:from>
    <xdr:to>
      <xdr:col>4</xdr:col>
      <xdr:colOff>1087931</xdr:colOff>
      <xdr:row>126</xdr:row>
      <xdr:rowOff>165653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102061"/>
          <a:ext cx="6010451" cy="25430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160</xdr:row>
      <xdr:rowOff>0</xdr:rowOff>
    </xdr:from>
    <xdr:to>
      <xdr:col>11</xdr:col>
      <xdr:colOff>274320</xdr:colOff>
      <xdr:row>173</xdr:row>
      <xdr:rowOff>160626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23621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6" name="AutoShape 4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4" name="AutoShape 4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244053</xdr:colOff>
      <xdr:row>105</xdr:row>
      <xdr:rowOff>15479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129</xdr:row>
      <xdr:rowOff>114300</xdr:rowOff>
    </xdr:from>
    <xdr:to>
      <xdr:col>3</xdr:col>
      <xdr:colOff>213360</xdr:colOff>
      <xdr:row>144</xdr:row>
      <xdr:rowOff>7621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142440"/>
          <a:ext cx="4373880" cy="263652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90</xdr:row>
      <xdr:rowOff>0</xdr:rowOff>
    </xdr:from>
    <xdr:to>
      <xdr:col>0</xdr:col>
      <xdr:colOff>304800</xdr:colOff>
      <xdr:row>91</xdr:row>
      <xdr:rowOff>121920</xdr:rowOff>
    </xdr:to>
    <xdr:sp macro="" textlink="">
      <xdr:nvSpPr>
        <xdr:cNvPr id="4" name="AutoShape 5" descr="blob:https://web.whatsapp.com/c926b201-3171-40d5-8d09-f5e24b06ad2d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88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6626</xdr:colOff>
      <xdr:row>147</xdr:row>
      <xdr:rowOff>6626</xdr:rowOff>
    </xdr:from>
    <xdr:to>
      <xdr:col>11</xdr:col>
      <xdr:colOff>76531</xdr:colOff>
      <xdr:row>167</xdr:row>
      <xdr:rowOff>133864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29146" y="30326606"/>
          <a:ext cx="5297225" cy="3784838"/>
        </a:xfrm>
        <a:prstGeom prst="rect">
          <a:avLst/>
        </a:prstGeom>
      </xdr:spPr>
    </xdr:pic>
    <xdr:clientData/>
  </xdr:twoCellAnchor>
  <xdr:twoCellAnchor editAs="oneCell">
    <xdr:from>
      <xdr:col>7</xdr:col>
      <xdr:colOff>125896</xdr:colOff>
      <xdr:row>146</xdr:row>
      <xdr:rowOff>139147</xdr:rowOff>
    </xdr:from>
    <xdr:to>
      <xdr:col>11</xdr:col>
      <xdr:colOff>76531</xdr:colOff>
      <xdr:row>167</xdr:row>
      <xdr:rowOff>66103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62076" y="30276247"/>
          <a:ext cx="2564295" cy="3767436"/>
        </a:xfrm>
        <a:prstGeom prst="rect">
          <a:avLst/>
        </a:prstGeom>
      </xdr:spPr>
    </xdr:pic>
    <xdr:clientData/>
  </xdr:twoCellAnchor>
  <xdr:twoCellAnchor editAs="oneCell">
    <xdr:from>
      <xdr:col>10</xdr:col>
      <xdr:colOff>576471</xdr:colOff>
      <xdr:row>144</xdr:row>
      <xdr:rowOff>152400</xdr:rowOff>
    </xdr:from>
    <xdr:to>
      <xdr:col>14</xdr:col>
      <xdr:colOff>145775</xdr:colOff>
      <xdr:row>167</xdr:row>
      <xdr:rowOff>155050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93851" y="29923740"/>
          <a:ext cx="2007704" cy="42088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113</xdr:row>
      <xdr:rowOff>1</xdr:rowOff>
    </xdr:from>
    <xdr:to>
      <xdr:col>4</xdr:col>
      <xdr:colOff>1087931</xdr:colOff>
      <xdr:row>126</xdr:row>
      <xdr:rowOff>165653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102061"/>
          <a:ext cx="6010451" cy="25430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167</xdr:row>
      <xdr:rowOff>53340</xdr:rowOff>
    </xdr:from>
    <xdr:to>
      <xdr:col>11</xdr:col>
      <xdr:colOff>274320</xdr:colOff>
      <xdr:row>181</xdr:row>
      <xdr:rowOff>31086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36194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89</xdr:row>
      <xdr:rowOff>0</xdr:rowOff>
    </xdr:from>
    <xdr:to>
      <xdr:col>0</xdr:col>
      <xdr:colOff>304800</xdr:colOff>
      <xdr:row>90</xdr:row>
      <xdr:rowOff>114300</xdr:rowOff>
    </xdr:to>
    <xdr:sp macro="" textlink="">
      <xdr:nvSpPr>
        <xdr:cNvPr id="11" name="AutoShape 4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90</xdr:row>
      <xdr:rowOff>0</xdr:rowOff>
    </xdr:from>
    <xdr:to>
      <xdr:col>1</xdr:col>
      <xdr:colOff>244053</xdr:colOff>
      <xdr:row>105</xdr:row>
      <xdr:rowOff>15479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114</xdr:row>
      <xdr:rowOff>0</xdr:rowOff>
    </xdr:from>
    <xdr:to>
      <xdr:col>4</xdr:col>
      <xdr:colOff>1431536</xdr:colOff>
      <xdr:row>126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58220"/>
          <a:ext cx="6315956" cy="2232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07386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519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154</xdr:row>
      <xdr:rowOff>0</xdr:rowOff>
    </xdr:from>
    <xdr:to>
      <xdr:col>5</xdr:col>
      <xdr:colOff>467715</xdr:colOff>
      <xdr:row>167</xdr:row>
      <xdr:rowOff>83820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1981140"/>
          <a:ext cx="7097115" cy="246126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154</xdr:row>
      <xdr:rowOff>0</xdr:rowOff>
    </xdr:from>
    <xdr:to>
      <xdr:col>11</xdr:col>
      <xdr:colOff>248126</xdr:colOff>
      <xdr:row>167</xdr:row>
      <xdr:rowOff>106680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239000" y="31981140"/>
          <a:ext cx="3410426" cy="2484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172</xdr:row>
      <xdr:rowOff>83820</xdr:rowOff>
    </xdr:from>
    <xdr:to>
      <xdr:col>11</xdr:col>
      <xdr:colOff>22860</xdr:colOff>
      <xdr:row>186</xdr:row>
      <xdr:rowOff>61566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535680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4" name="AutoShape 4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07386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519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114</xdr:row>
      <xdr:rowOff>22861</xdr:rowOff>
    </xdr:from>
    <xdr:to>
      <xdr:col>6</xdr:col>
      <xdr:colOff>320040</xdr:colOff>
      <xdr:row>128</xdr:row>
      <xdr:rowOff>114301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3881081"/>
          <a:ext cx="7559040" cy="26517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159</xdr:row>
      <xdr:rowOff>0</xdr:rowOff>
    </xdr:from>
    <xdr:to>
      <xdr:col>11</xdr:col>
      <xdr:colOff>22860</xdr:colOff>
      <xdr:row>172</xdr:row>
      <xdr:rowOff>160626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8292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07386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519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7620</xdr:rowOff>
    </xdr:from>
    <xdr:to>
      <xdr:col>1</xdr:col>
      <xdr:colOff>15240</xdr:colOff>
      <xdr:row>170</xdr:row>
      <xdr:rowOff>25458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1805880"/>
          <a:ext cx="2232660" cy="3126798"/>
        </a:xfrm>
        <a:prstGeom prst="rect">
          <a:avLst/>
        </a:prstGeom>
      </xdr:spPr>
    </xdr:pic>
    <xdr:clientData/>
  </xdr:twoCellAnchor>
  <xdr:twoCellAnchor editAs="oneCell">
    <xdr:from>
      <xdr:col>0</xdr:col>
      <xdr:colOff>2202181</xdr:colOff>
      <xdr:row>153</xdr:row>
      <xdr:rowOff>22860</xdr:rowOff>
    </xdr:from>
    <xdr:to>
      <xdr:col>3</xdr:col>
      <xdr:colOff>152401</xdr:colOff>
      <xdr:row>171</xdr:row>
      <xdr:rowOff>38100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2181" y="31821120"/>
          <a:ext cx="2110740" cy="330708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152</xdr:row>
      <xdr:rowOff>129540</xdr:rowOff>
    </xdr:from>
    <xdr:to>
      <xdr:col>6</xdr:col>
      <xdr:colOff>484346</xdr:colOff>
      <xdr:row>171</xdr:row>
      <xdr:rowOff>99060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12920" y="31744920"/>
          <a:ext cx="3410426" cy="3444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1</xdr:rowOff>
    </xdr:from>
    <xdr:to>
      <xdr:col>4</xdr:col>
      <xdr:colOff>1126031</xdr:colOff>
      <xdr:row>127</xdr:row>
      <xdr:rowOff>165653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102061"/>
          <a:ext cx="6010451" cy="25430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11</xdr:col>
      <xdr:colOff>22860</xdr:colOff>
      <xdr:row>193</xdr:row>
      <xdr:rowOff>160626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46100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6" name="AutoShape 4">
          <a:extLst>
            <a:ext uri="{FF2B5EF4-FFF2-40B4-BE49-F238E27FC236}">
              <a16:creationId xmlns:a16="http://schemas.microsoft.com/office/drawing/2014/main" xmlns="" id="{00000000-0008-0000-06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114</xdr:row>
      <xdr:rowOff>0</xdr:rowOff>
    </xdr:from>
    <xdr:to>
      <xdr:col>4</xdr:col>
      <xdr:colOff>1431536</xdr:colOff>
      <xdr:row>126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58220"/>
          <a:ext cx="6315956" cy="2232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707386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96519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161</xdr:row>
      <xdr:rowOff>0</xdr:rowOff>
    </xdr:from>
    <xdr:to>
      <xdr:col>11</xdr:col>
      <xdr:colOff>22860</xdr:colOff>
      <xdr:row>174</xdr:row>
      <xdr:rowOff>160626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591306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2" name="AutoShape 4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0" name="AutoShape 4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131</xdr:row>
      <xdr:rowOff>106680</xdr:rowOff>
    </xdr:from>
    <xdr:to>
      <xdr:col>3</xdr:col>
      <xdr:colOff>213360</xdr:colOff>
      <xdr:row>146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947880"/>
          <a:ext cx="4373880" cy="26365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75183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153</xdr:row>
      <xdr:rowOff>7620</xdr:rowOff>
    </xdr:from>
    <xdr:to>
      <xdr:col>1</xdr:col>
      <xdr:colOff>15240</xdr:colOff>
      <xdr:row>170</xdr:row>
      <xdr:rowOff>25458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679900"/>
          <a:ext cx="2232660" cy="3126798"/>
        </a:xfrm>
        <a:prstGeom prst="rect">
          <a:avLst/>
        </a:prstGeom>
      </xdr:spPr>
    </xdr:pic>
    <xdr:clientData/>
  </xdr:twoCellAnchor>
  <xdr:twoCellAnchor editAs="oneCell">
    <xdr:from>
      <xdr:col>0</xdr:col>
      <xdr:colOff>2202181</xdr:colOff>
      <xdr:row>153</xdr:row>
      <xdr:rowOff>22860</xdr:rowOff>
    </xdr:from>
    <xdr:to>
      <xdr:col>3</xdr:col>
      <xdr:colOff>152401</xdr:colOff>
      <xdr:row>171</xdr:row>
      <xdr:rowOff>38100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02181" y="29695140"/>
          <a:ext cx="2110740" cy="330708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152</xdr:row>
      <xdr:rowOff>129540</xdr:rowOff>
    </xdr:from>
    <xdr:to>
      <xdr:col>6</xdr:col>
      <xdr:colOff>484346</xdr:colOff>
      <xdr:row>171</xdr:row>
      <xdr:rowOff>99060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12920" y="29618940"/>
          <a:ext cx="3410426" cy="3444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1</xdr:rowOff>
    </xdr:from>
    <xdr:to>
      <xdr:col>4</xdr:col>
      <xdr:colOff>1126031</xdr:colOff>
      <xdr:row>127</xdr:row>
      <xdr:rowOff>165653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1732241"/>
          <a:ext cx="6010451" cy="25430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11</xdr:col>
      <xdr:colOff>22860</xdr:colOff>
      <xdr:row>193</xdr:row>
      <xdr:rowOff>160626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4610040"/>
          <a:ext cx="10424160" cy="25380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5" name="AutoShape 4">
          <a:extLst>
            <a:ext uri="{FF2B5EF4-FFF2-40B4-BE49-F238E27FC236}">
              <a16:creationId xmlns:a16="http://schemas.microsoft.com/office/drawing/2014/main" xmlns="" id="{00000000-0008-0000-08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55470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304800</xdr:colOff>
      <xdr:row>92</xdr:row>
      <xdr:rowOff>114300</xdr:rowOff>
    </xdr:to>
    <xdr:sp macro="" textlink="">
      <xdr:nvSpPr>
        <xdr:cNvPr id="13" name="AutoShape 4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873758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92</xdr:row>
      <xdr:rowOff>0</xdr:rowOff>
    </xdr:from>
    <xdr:to>
      <xdr:col>1</xdr:col>
      <xdr:colOff>244053</xdr:colOff>
      <xdr:row>107</xdr:row>
      <xdr:rowOff>15479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920460"/>
          <a:ext cx="2461473" cy="2758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72"/>
  <sheetViews>
    <sheetView workbookViewId="0">
      <selection activeCell="B13" sqref="B13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8" x14ac:dyDescent="0.25">
      <c r="A1" s="93" t="s">
        <v>7</v>
      </c>
      <c r="B1" s="93"/>
      <c r="C1" s="93"/>
      <c r="D1" s="93"/>
      <c r="E1" s="93"/>
      <c r="F1" s="93"/>
    </row>
    <row r="2" spans="1:8" x14ac:dyDescent="0.25">
      <c r="A2" s="55" t="s">
        <v>22</v>
      </c>
      <c r="B2" s="65"/>
      <c r="C2" s="65"/>
      <c r="D2" s="65"/>
      <c r="E2" s="65"/>
      <c r="F2" s="65"/>
    </row>
    <row r="3" spans="1:8" x14ac:dyDescent="0.25">
      <c r="B3" s="39" t="s">
        <v>157</v>
      </c>
      <c r="C3" s="65"/>
      <c r="D3" s="65">
        <v>24</v>
      </c>
      <c r="E3" s="55"/>
      <c r="F3" s="55"/>
    </row>
    <row r="4" spans="1:8" x14ac:dyDescent="0.25">
      <c r="A4" s="55"/>
      <c r="B4" s="39" t="s">
        <v>77</v>
      </c>
      <c r="C4" s="55"/>
      <c r="D4" s="55">
        <v>149.9</v>
      </c>
      <c r="E4" s="55"/>
      <c r="F4" s="55"/>
    </row>
    <row r="5" spans="1:8" x14ac:dyDescent="0.25">
      <c r="A5" s="55"/>
      <c r="B5" s="39" t="s">
        <v>78</v>
      </c>
      <c r="C5" s="55"/>
      <c r="D5" s="55">
        <v>20</v>
      </c>
      <c r="E5" s="55"/>
      <c r="F5" s="55"/>
    </row>
    <row r="6" spans="1:8" x14ac:dyDescent="0.25">
      <c r="A6" s="9" t="s">
        <v>144</v>
      </c>
      <c r="B6" t="s">
        <v>23</v>
      </c>
      <c r="D6">
        <f>D4*D5</f>
        <v>2998</v>
      </c>
    </row>
    <row r="7" spans="1:8" x14ac:dyDescent="0.25">
      <c r="B7" t="s">
        <v>110</v>
      </c>
      <c r="D7">
        <f>D6*10</f>
        <v>29980</v>
      </c>
    </row>
    <row r="8" spans="1:8" x14ac:dyDescent="0.25">
      <c r="A8" s="55" t="s">
        <v>9</v>
      </c>
      <c r="B8" s="6">
        <v>153966</v>
      </c>
      <c r="C8" s="55"/>
      <c r="D8" s="55"/>
      <c r="E8" s="99" t="s">
        <v>104</v>
      </c>
      <c r="F8" s="99"/>
      <c r="G8" s="99"/>
      <c r="H8" s="99"/>
    </row>
    <row r="9" spans="1:8" x14ac:dyDescent="0.25">
      <c r="A9" s="55" t="s">
        <v>124</v>
      </c>
      <c r="B9" s="6">
        <f>B8*30%</f>
        <v>46189.799999999996</v>
      </c>
      <c r="C9" s="55"/>
      <c r="D9" s="55"/>
      <c r="E9" s="39" t="s">
        <v>91</v>
      </c>
      <c r="F9" s="75"/>
      <c r="G9" s="61"/>
      <c r="H9" s="61"/>
    </row>
    <row r="10" spans="1:8" x14ac:dyDescent="0.25">
      <c r="A10" s="55" t="s">
        <v>10</v>
      </c>
      <c r="B10" s="6">
        <f>B8-B9</f>
        <v>107776.20000000001</v>
      </c>
      <c r="C10" s="55"/>
      <c r="D10" s="55"/>
      <c r="E10" s="75"/>
      <c r="F10" s="75"/>
      <c r="G10" s="61"/>
      <c r="H10" s="61"/>
    </row>
    <row r="11" spans="1:8" x14ac:dyDescent="0.25">
      <c r="A11" s="55" t="s">
        <v>11</v>
      </c>
      <c r="B11" s="6">
        <v>60</v>
      </c>
      <c r="C11" s="6">
        <f>B10/B11</f>
        <v>1796.2700000000002</v>
      </c>
      <c r="D11" s="55"/>
      <c r="E11" s="39" t="s">
        <v>90</v>
      </c>
      <c r="F11" s="75"/>
      <c r="G11" s="61"/>
      <c r="H11" s="61"/>
    </row>
    <row r="12" spans="1:8" x14ac:dyDescent="0.25">
      <c r="A12" s="55" t="s">
        <v>13</v>
      </c>
      <c r="B12" s="14">
        <v>0.14000000000000001</v>
      </c>
      <c r="C12" s="7">
        <f>B8*B12/12</f>
        <v>1796.2700000000002</v>
      </c>
      <c r="D12" s="55"/>
      <c r="E12" s="39" t="s">
        <v>105</v>
      </c>
      <c r="F12" s="75"/>
      <c r="G12" s="61"/>
      <c r="H12" s="61"/>
    </row>
    <row r="13" spans="1:8" x14ac:dyDescent="0.25">
      <c r="E13" s="61"/>
      <c r="F13" s="61"/>
      <c r="G13" s="61"/>
      <c r="H13" s="61"/>
    </row>
    <row r="14" spans="1:8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1"/>
      <c r="F14" s="61"/>
      <c r="G14" s="61"/>
      <c r="H14" s="61"/>
    </row>
    <row r="15" spans="1:8" x14ac:dyDescent="0.25">
      <c r="A15" s="2" t="s">
        <v>2</v>
      </c>
      <c r="B15" s="2">
        <v>6.28</v>
      </c>
      <c r="C15" s="2">
        <v>7</v>
      </c>
      <c r="D15" s="3">
        <f t="shared" ref="D15:D24" si="0">B15/C15</f>
        <v>0.89714285714285713</v>
      </c>
      <c r="E15" s="97" t="s">
        <v>84</v>
      </c>
      <c r="F15" s="98"/>
      <c r="G15" s="98"/>
      <c r="H15" s="98"/>
    </row>
    <row r="16" spans="1:8" x14ac:dyDescent="0.25">
      <c r="A16" s="2" t="s">
        <v>6</v>
      </c>
      <c r="B16" s="3">
        <v>500</v>
      </c>
      <c r="C16" s="2">
        <f>D6</f>
        <v>2998</v>
      </c>
      <c r="D16" s="3">
        <f t="shared" si="0"/>
        <v>0.16677785190126751</v>
      </c>
      <c r="E16" s="97" t="s">
        <v>96</v>
      </c>
      <c r="F16" s="98"/>
      <c r="G16" s="98"/>
      <c r="H16" s="98"/>
    </row>
    <row r="17" spans="1:15" x14ac:dyDescent="0.25">
      <c r="A17" s="2" t="s">
        <v>20</v>
      </c>
      <c r="B17" s="3"/>
      <c r="C17" s="2">
        <f>C16*12</f>
        <v>35976</v>
      </c>
      <c r="D17" s="3">
        <f t="shared" si="0"/>
        <v>0</v>
      </c>
    </row>
    <row r="18" spans="1:15" x14ac:dyDescent="0.25">
      <c r="A18" s="2" t="s">
        <v>3</v>
      </c>
      <c r="B18" s="3">
        <v>700</v>
      </c>
      <c r="C18" s="2">
        <f>C16</f>
        <v>2998</v>
      </c>
      <c r="D18" s="3">
        <f t="shared" si="0"/>
        <v>0.2334889926617745</v>
      </c>
      <c r="E18" t="s">
        <v>85</v>
      </c>
    </row>
    <row r="19" spans="1:15" x14ac:dyDescent="0.25">
      <c r="A19" s="2" t="s">
        <v>28</v>
      </c>
      <c r="B19" s="3">
        <v>3511.88</v>
      </c>
      <c r="C19" s="2">
        <v>40000</v>
      </c>
      <c r="D19" s="3">
        <f t="shared" si="0"/>
        <v>8.7797E-2</v>
      </c>
      <c r="E19" t="s">
        <v>92</v>
      </c>
      <c r="J19" s="101" t="s">
        <v>158</v>
      </c>
      <c r="K19" s="101"/>
      <c r="L19" s="101" t="s">
        <v>159</v>
      </c>
      <c r="M19" s="101"/>
      <c r="N19" s="101" t="s">
        <v>160</v>
      </c>
      <c r="O19" s="101"/>
    </row>
    <row r="20" spans="1:15" x14ac:dyDescent="0.25">
      <c r="A20" s="2" t="s">
        <v>109</v>
      </c>
      <c r="B20" s="3">
        <v>63.4</v>
      </c>
      <c r="C20" s="2">
        <f>C21</f>
        <v>2998</v>
      </c>
      <c r="D20" s="3">
        <f>B20/C20</f>
        <v>2.1147431621080719E-2</v>
      </c>
      <c r="E20" t="s">
        <v>108</v>
      </c>
      <c r="J20" s="102">
        <f>D4*D32</f>
        <v>1099.4400996455245</v>
      </c>
      <c r="K20" s="101"/>
      <c r="L20" s="102">
        <f>D3*J20</f>
        <v>26386.562391492589</v>
      </c>
      <c r="M20" s="101"/>
      <c r="N20" s="102">
        <f>J20*200</f>
        <v>219888.01992910489</v>
      </c>
      <c r="O20" s="101"/>
    </row>
    <row r="21" spans="1:15" x14ac:dyDescent="0.25">
      <c r="A21" s="2" t="s">
        <v>26</v>
      </c>
      <c r="B21" s="3">
        <v>250</v>
      </c>
      <c r="C21" s="2">
        <f>C18</f>
        <v>2998</v>
      </c>
      <c r="D21" s="3">
        <f t="shared" si="0"/>
        <v>8.3388925950633755E-2</v>
      </c>
      <c r="E21" t="s">
        <v>97</v>
      </c>
    </row>
    <row r="22" spans="1:15" x14ac:dyDescent="0.25">
      <c r="A22" s="2" t="s">
        <v>4</v>
      </c>
      <c r="B22" s="3">
        <f>I62</f>
        <v>9122.6464646464647</v>
      </c>
      <c r="C22" s="2">
        <f>C18</f>
        <v>2998</v>
      </c>
      <c r="D22" s="3">
        <f t="shared" si="0"/>
        <v>3.0429107620568594</v>
      </c>
      <c r="E22" t="s">
        <v>86</v>
      </c>
    </row>
    <row r="23" spans="1:15" x14ac:dyDescent="0.25">
      <c r="A23" s="2" t="s">
        <v>12</v>
      </c>
      <c r="B23" s="3">
        <f>C11</f>
        <v>1796.2700000000002</v>
      </c>
      <c r="C23" s="2">
        <f>C22</f>
        <v>2998</v>
      </c>
      <c r="D23" s="3">
        <f t="shared" si="0"/>
        <v>0.59915610406937969</v>
      </c>
      <c r="E23" t="s">
        <v>89</v>
      </c>
    </row>
    <row r="24" spans="1:15" x14ac:dyDescent="0.25">
      <c r="A24" s="2" t="s">
        <v>14</v>
      </c>
      <c r="B24" s="8">
        <f>C12</f>
        <v>1796.2700000000002</v>
      </c>
      <c r="C24" s="2">
        <f>C23</f>
        <v>2998</v>
      </c>
      <c r="D24" s="3">
        <f t="shared" si="0"/>
        <v>0.59915610406937969</v>
      </c>
      <c r="E24" t="s">
        <v>89</v>
      </c>
    </row>
    <row r="25" spans="1:15" x14ac:dyDescent="0.25">
      <c r="A25" s="4" t="s">
        <v>24</v>
      </c>
      <c r="B25" s="4"/>
      <c r="C25" s="4" t="s">
        <v>5</v>
      </c>
      <c r="D25" s="5">
        <f>SUM(D15:D24)</f>
        <v>5.7309660294732323</v>
      </c>
    </row>
    <row r="27" spans="1:15" x14ac:dyDescent="0.25">
      <c r="A27" s="2" t="s">
        <v>17</v>
      </c>
      <c r="B27" s="2"/>
      <c r="C27" s="10">
        <v>0.1</v>
      </c>
      <c r="D27" s="8">
        <f>D25*C27</f>
        <v>0.57309660294732323</v>
      </c>
      <c r="E27" t="s">
        <v>88</v>
      </c>
    </row>
    <row r="28" spans="1:15" x14ac:dyDescent="0.25">
      <c r="A28" s="2" t="s">
        <v>18</v>
      </c>
      <c r="B28" s="2"/>
      <c r="C28" s="10">
        <v>0.1</v>
      </c>
      <c r="D28" s="8">
        <f>D25*C28</f>
        <v>0.57309660294732323</v>
      </c>
      <c r="E28" t="s">
        <v>88</v>
      </c>
    </row>
    <row r="29" spans="1:15" x14ac:dyDescent="0.25">
      <c r="A29" s="11" t="s">
        <v>15</v>
      </c>
      <c r="B29" s="11"/>
      <c r="C29" s="11"/>
      <c r="D29" s="12">
        <f>D28+D27+D25</f>
        <v>6.8771592353678788</v>
      </c>
    </row>
    <row r="30" spans="1:15" x14ac:dyDescent="0.25">
      <c r="A30" s="2" t="s">
        <v>16</v>
      </c>
      <c r="B30" s="2"/>
      <c r="C30" s="13">
        <v>6.6500000000000004E-2</v>
      </c>
      <c r="D30" s="8">
        <f>D29*C30</f>
        <v>0.45733108915196397</v>
      </c>
      <c r="E30" t="s">
        <v>87</v>
      </c>
    </row>
    <row r="31" spans="1:15" x14ac:dyDescent="0.25">
      <c r="A31" s="2" t="s">
        <v>19</v>
      </c>
      <c r="B31" s="2"/>
      <c r="C31" s="10"/>
      <c r="D31" s="8"/>
    </row>
    <row r="32" spans="1:15" x14ac:dyDescent="0.25">
      <c r="A32" s="11" t="s">
        <v>25</v>
      </c>
      <c r="B32" s="11"/>
      <c r="C32" s="11"/>
      <c r="D32" s="12">
        <f>D29+D30</f>
        <v>7.3344903245198427</v>
      </c>
    </row>
    <row r="33" spans="1:9" x14ac:dyDescent="0.25">
      <c r="A33" s="15" t="s">
        <v>27</v>
      </c>
      <c r="B33" s="2"/>
      <c r="C33" s="2">
        <f>D6</f>
        <v>2998</v>
      </c>
      <c r="D33" s="8">
        <f>D32*C33</f>
        <v>21988.801992910488</v>
      </c>
    </row>
    <row r="35" spans="1:9" ht="50.25" customHeight="1" x14ac:dyDescent="0.25">
      <c r="A35" s="100" t="s">
        <v>152</v>
      </c>
      <c r="B35" s="100"/>
      <c r="C35" s="100"/>
      <c r="D35" s="100"/>
      <c r="E35" s="100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66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66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67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68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69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69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69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69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94" t="s">
        <v>30</v>
      </c>
      <c r="C50" s="95"/>
      <c r="D50" s="95"/>
      <c r="E50" s="95"/>
      <c r="F50" s="95"/>
      <c r="G50" s="96"/>
      <c r="H50" s="18" t="s">
        <v>31</v>
      </c>
      <c r="I50" s="18" t="s">
        <v>32</v>
      </c>
    </row>
    <row r="51" spans="1:9" x14ac:dyDescent="0.25">
      <c r="A51" s="19" t="s">
        <v>33</v>
      </c>
      <c r="B51" s="82" t="s">
        <v>34</v>
      </c>
      <c r="C51" s="83"/>
      <c r="D51" s="83"/>
      <c r="E51" s="83"/>
      <c r="F51" s="83"/>
      <c r="G51" s="84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2" t="s">
        <v>36</v>
      </c>
      <c r="C52" s="83"/>
      <c r="D52" s="83"/>
      <c r="E52" s="83"/>
      <c r="F52" s="83"/>
      <c r="G52" s="84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2" t="s">
        <v>38</v>
      </c>
      <c r="C53" s="83"/>
      <c r="D53" s="83"/>
      <c r="E53" s="83"/>
      <c r="F53" s="83"/>
      <c r="G53" s="84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2" t="s">
        <v>40</v>
      </c>
      <c r="C54" s="83"/>
      <c r="D54" s="83"/>
      <c r="E54" s="83"/>
      <c r="F54" s="83"/>
      <c r="G54" s="84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85" t="s">
        <v>42</v>
      </c>
      <c r="C55" s="86"/>
      <c r="D55" s="86"/>
      <c r="E55" s="86"/>
      <c r="F55" s="86"/>
      <c r="G55" s="8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85" t="s">
        <v>44</v>
      </c>
      <c r="C56" s="86"/>
      <c r="D56" s="86"/>
      <c r="E56" s="86"/>
      <c r="F56" s="86"/>
      <c r="G56" s="8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88" t="s">
        <v>46</v>
      </c>
      <c r="C57" s="8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85" t="s">
        <v>50</v>
      </c>
      <c r="C58" s="86"/>
      <c r="D58" s="86"/>
      <c r="E58" s="86"/>
      <c r="F58" s="86"/>
      <c r="G58" s="87"/>
      <c r="H58" s="20">
        <v>6.0000000000000001E-3</v>
      </c>
      <c r="I58" s="21">
        <f t="shared" si="1"/>
        <v>32.028931151515152</v>
      </c>
    </row>
    <row r="59" spans="1:9" x14ac:dyDescent="0.25">
      <c r="A59" s="90" t="s">
        <v>51</v>
      </c>
      <c r="B59" s="91"/>
      <c r="C59" s="91"/>
      <c r="D59" s="91"/>
      <c r="E59" s="91"/>
      <c r="F59" s="91"/>
      <c r="G59" s="9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4" spans="1:5" x14ac:dyDescent="0.25">
      <c r="A114" t="s">
        <v>93</v>
      </c>
      <c r="B114" t="s">
        <v>133</v>
      </c>
      <c r="E114">
        <f>877.97*4</f>
        <v>3511.88</v>
      </c>
    </row>
    <row r="130" spans="1:1" x14ac:dyDescent="0.25">
      <c r="A130" t="s">
        <v>94</v>
      </c>
    </row>
    <row r="131" spans="1:1" x14ac:dyDescent="0.25">
      <c r="A131" t="s">
        <v>95</v>
      </c>
    </row>
    <row r="149" spans="1:4" ht="78" customHeight="1" x14ac:dyDescent="0.25">
      <c r="A149" s="79" t="s">
        <v>113</v>
      </c>
      <c r="B149" s="80"/>
      <c r="C149" s="80"/>
      <c r="D149" s="81"/>
    </row>
    <row r="150" spans="1:4" x14ac:dyDescent="0.25">
      <c r="A150" s="46"/>
      <c r="B150" s="47"/>
      <c r="C150" s="47"/>
      <c r="D150" s="49"/>
    </row>
    <row r="151" spans="1:4" x14ac:dyDescent="0.25">
      <c r="A151" s="46"/>
      <c r="B151" s="47"/>
      <c r="C151" s="47"/>
      <c r="D151" s="49"/>
    </row>
    <row r="152" spans="1:4" x14ac:dyDescent="0.25">
      <c r="A152" s="46"/>
      <c r="B152" s="47"/>
      <c r="C152" s="47"/>
      <c r="D152" s="49"/>
    </row>
    <row r="153" spans="1:4" x14ac:dyDescent="0.25">
      <c r="A153" s="50" t="s">
        <v>140</v>
      </c>
      <c r="B153" s="51"/>
      <c r="C153" s="51"/>
      <c r="D153" s="52"/>
    </row>
    <row r="172" spans="1:1" x14ac:dyDescent="0.25">
      <c r="A172" t="s">
        <v>106</v>
      </c>
    </row>
  </sheetData>
  <mergeCells count="22">
    <mergeCell ref="J19:K19"/>
    <mergeCell ref="L19:M19"/>
    <mergeCell ref="N19:O19"/>
    <mergeCell ref="J20:K20"/>
    <mergeCell ref="L20:M20"/>
    <mergeCell ref="N20:O20"/>
    <mergeCell ref="B53:G53"/>
    <mergeCell ref="A1:F1"/>
    <mergeCell ref="B50:G50"/>
    <mergeCell ref="B51:G51"/>
    <mergeCell ref="B52:G52"/>
    <mergeCell ref="E15:H15"/>
    <mergeCell ref="E16:H16"/>
    <mergeCell ref="E8:H8"/>
    <mergeCell ref="A35:E35"/>
    <mergeCell ref="A149:D149"/>
    <mergeCell ref="B54:G54"/>
    <mergeCell ref="B55:G55"/>
    <mergeCell ref="B56:G56"/>
    <mergeCell ref="B57:C57"/>
    <mergeCell ref="B58:G58"/>
    <mergeCell ref="A59:G59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59"/>
  <sheetViews>
    <sheetView workbookViewId="0">
      <selection activeCell="B13" sqref="B13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5" x14ac:dyDescent="0.25">
      <c r="A1" s="93" t="s">
        <v>7</v>
      </c>
      <c r="B1" s="93"/>
      <c r="C1" s="93"/>
      <c r="D1" s="93"/>
      <c r="E1" s="93"/>
      <c r="F1" s="93"/>
    </row>
    <row r="2" spans="1:15" x14ac:dyDescent="0.25">
      <c r="A2" s="62" t="s">
        <v>146</v>
      </c>
      <c r="B2" s="65"/>
      <c r="C2" s="65"/>
      <c r="D2" s="65"/>
      <c r="E2" s="65"/>
      <c r="F2" s="65"/>
    </row>
    <row r="3" spans="1:15" x14ac:dyDescent="0.25">
      <c r="A3" s="73"/>
      <c r="B3" s="39" t="s">
        <v>155</v>
      </c>
      <c r="C3" s="74"/>
      <c r="D3" s="62"/>
      <c r="E3" s="62"/>
      <c r="F3" s="62"/>
    </row>
    <row r="4" spans="1:15" x14ac:dyDescent="0.25">
      <c r="A4" s="62"/>
      <c r="B4" s="39" t="s">
        <v>77</v>
      </c>
      <c r="C4" s="62"/>
      <c r="D4" s="62">
        <v>94.6</v>
      </c>
      <c r="E4" s="62"/>
      <c r="F4" s="62"/>
    </row>
    <row r="5" spans="1:15" x14ac:dyDescent="0.25">
      <c r="A5" s="62"/>
      <c r="B5" s="39"/>
      <c r="C5" s="62"/>
      <c r="D5" s="62">
        <v>20</v>
      </c>
      <c r="E5" s="62"/>
      <c r="F5" s="62"/>
    </row>
    <row r="6" spans="1:15" x14ac:dyDescent="0.25">
      <c r="A6" s="9" t="s">
        <v>119</v>
      </c>
      <c r="B6" t="s">
        <v>23</v>
      </c>
      <c r="D6">
        <f>D4*D5</f>
        <v>1892</v>
      </c>
    </row>
    <row r="7" spans="1:15" x14ac:dyDescent="0.25">
      <c r="B7" t="s">
        <v>110</v>
      </c>
      <c r="D7">
        <f>D6*10</f>
        <v>18920</v>
      </c>
    </row>
    <row r="8" spans="1:15" x14ac:dyDescent="0.25">
      <c r="A8" s="62" t="s">
        <v>9</v>
      </c>
      <c r="B8" s="6">
        <v>222663</v>
      </c>
      <c r="C8" s="62"/>
      <c r="D8" s="62"/>
      <c r="E8" s="104" t="s">
        <v>104</v>
      </c>
      <c r="F8" s="104"/>
      <c r="G8" s="104"/>
      <c r="H8" s="60"/>
    </row>
    <row r="9" spans="1:15" x14ac:dyDescent="0.25">
      <c r="A9" s="62" t="s">
        <v>124</v>
      </c>
      <c r="B9" s="6">
        <f>B8*30%</f>
        <v>66798.899999999994</v>
      </c>
      <c r="C9" s="62"/>
      <c r="D9" s="62"/>
      <c r="E9" s="39" t="s">
        <v>91</v>
      </c>
      <c r="F9" s="77"/>
      <c r="G9" s="60"/>
      <c r="H9" s="60"/>
    </row>
    <row r="10" spans="1:15" x14ac:dyDescent="0.25">
      <c r="A10" s="62" t="s">
        <v>10</v>
      </c>
      <c r="B10" s="6">
        <f>B8-B9</f>
        <v>155864.1</v>
      </c>
      <c r="C10" s="62"/>
      <c r="D10" s="62"/>
      <c r="E10" s="77"/>
      <c r="F10" s="77"/>
      <c r="G10" s="60"/>
      <c r="H10" s="60"/>
      <c r="J10" s="101" t="s">
        <v>158</v>
      </c>
      <c r="K10" s="101"/>
      <c r="L10" s="101" t="s">
        <v>159</v>
      </c>
      <c r="M10" s="101"/>
      <c r="N10" s="101" t="s">
        <v>160</v>
      </c>
      <c r="O10" s="101"/>
    </row>
    <row r="11" spans="1:15" x14ac:dyDescent="0.25">
      <c r="A11" s="62" t="s">
        <v>11</v>
      </c>
      <c r="B11" s="6">
        <v>60</v>
      </c>
      <c r="C11" s="6">
        <f>B10/B11</f>
        <v>2597.7350000000001</v>
      </c>
      <c r="D11" s="62"/>
      <c r="E11" s="39" t="s">
        <v>90</v>
      </c>
      <c r="F11" s="77"/>
      <c r="G11" s="60"/>
      <c r="H11" s="60"/>
      <c r="J11" s="102">
        <f>D4*D32</f>
        <v>1212.0357715527273</v>
      </c>
      <c r="K11" s="101"/>
      <c r="L11" s="102">
        <f>J11*24</f>
        <v>29088.858517265457</v>
      </c>
      <c r="M11" s="101"/>
      <c r="N11" s="102">
        <f>J11*200</f>
        <v>242407.15431054545</v>
      </c>
      <c r="O11" s="101"/>
    </row>
    <row r="12" spans="1:15" x14ac:dyDescent="0.25">
      <c r="A12" s="62" t="s">
        <v>13</v>
      </c>
      <c r="B12" s="14">
        <v>0.14000000000000001</v>
      </c>
      <c r="C12" s="7">
        <f>B8*B12/12</f>
        <v>2597.7350000000001</v>
      </c>
      <c r="D12" s="62"/>
      <c r="E12" s="39" t="s">
        <v>105</v>
      </c>
      <c r="F12" s="77"/>
      <c r="G12" s="60"/>
      <c r="H12" s="60"/>
    </row>
    <row r="13" spans="1:15" x14ac:dyDescent="0.25">
      <c r="E13" s="60"/>
      <c r="F13" s="60"/>
      <c r="G13" s="60"/>
      <c r="H13" s="60"/>
    </row>
    <row r="14" spans="1:15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0"/>
      <c r="F14" s="60"/>
      <c r="G14" s="60"/>
      <c r="H14" s="60"/>
    </row>
    <row r="15" spans="1:15" x14ac:dyDescent="0.25">
      <c r="A15" s="2" t="s">
        <v>2</v>
      </c>
      <c r="B15" s="2">
        <v>6.28</v>
      </c>
      <c r="C15" s="2">
        <v>4</v>
      </c>
      <c r="D15" s="3">
        <f t="shared" ref="D15:D24" si="0">B15/C15</f>
        <v>1.57</v>
      </c>
      <c r="E15" s="107" t="s">
        <v>84</v>
      </c>
      <c r="F15" s="108"/>
      <c r="G15" s="108"/>
      <c r="H15" s="108"/>
    </row>
    <row r="16" spans="1:15" x14ac:dyDescent="0.25">
      <c r="A16" s="2" t="s">
        <v>6</v>
      </c>
      <c r="B16" s="3">
        <v>500</v>
      </c>
      <c r="C16" s="2">
        <f>D6</f>
        <v>1892</v>
      </c>
      <c r="D16" s="3">
        <f t="shared" si="0"/>
        <v>0.26427061310782241</v>
      </c>
      <c r="E16" s="107" t="s">
        <v>96</v>
      </c>
      <c r="F16" s="108"/>
      <c r="G16" s="108"/>
      <c r="H16" s="108"/>
    </row>
    <row r="17" spans="1:5" x14ac:dyDescent="0.25">
      <c r="A17" s="2" t="s">
        <v>20</v>
      </c>
      <c r="B17" s="3"/>
      <c r="C17" s="2">
        <f>C16*12</f>
        <v>22704</v>
      </c>
      <c r="D17" s="3">
        <f t="shared" si="0"/>
        <v>0</v>
      </c>
    </row>
    <row r="18" spans="1:5" x14ac:dyDescent="0.25">
      <c r="A18" s="2" t="s">
        <v>3</v>
      </c>
      <c r="B18" s="3">
        <v>700</v>
      </c>
      <c r="C18" s="2">
        <f>C16</f>
        <v>1892</v>
      </c>
      <c r="D18" s="3">
        <f t="shared" si="0"/>
        <v>0.3699788583509514</v>
      </c>
      <c r="E18" t="s">
        <v>85</v>
      </c>
    </row>
    <row r="19" spans="1:5" x14ac:dyDescent="0.25">
      <c r="A19" s="2" t="s">
        <v>28</v>
      </c>
      <c r="B19" s="3">
        <v>2940</v>
      </c>
      <c r="C19" s="2">
        <v>40000</v>
      </c>
      <c r="D19" s="3">
        <f t="shared" si="0"/>
        <v>7.3499999999999996E-2</v>
      </c>
      <c r="E19" t="s">
        <v>92</v>
      </c>
    </row>
    <row r="20" spans="1:5" x14ac:dyDescent="0.25">
      <c r="A20" s="2" t="s">
        <v>109</v>
      </c>
      <c r="B20" s="3">
        <v>63.4</v>
      </c>
      <c r="C20" s="2">
        <f>C21</f>
        <v>1892</v>
      </c>
      <c r="D20" s="3">
        <f>B20/C20</f>
        <v>3.3509513742071881E-2</v>
      </c>
      <c r="E20" t="s">
        <v>108</v>
      </c>
    </row>
    <row r="21" spans="1:5" x14ac:dyDescent="0.25">
      <c r="A21" s="2" t="s">
        <v>26</v>
      </c>
      <c r="B21" s="3">
        <v>250</v>
      </c>
      <c r="C21" s="2">
        <f>C18</f>
        <v>1892</v>
      </c>
      <c r="D21" s="3">
        <f t="shared" si="0"/>
        <v>0.1321353065539112</v>
      </c>
      <c r="E21" t="s">
        <v>97</v>
      </c>
    </row>
    <row r="22" spans="1:5" x14ac:dyDescent="0.25">
      <c r="A22" s="2" t="s">
        <v>4</v>
      </c>
      <c r="B22" s="3">
        <f>I62</f>
        <v>9122.6464646464647</v>
      </c>
      <c r="C22" s="2">
        <f>C18</f>
        <v>1892</v>
      </c>
      <c r="D22" s="3">
        <f t="shared" si="0"/>
        <v>4.8216947487560597</v>
      </c>
      <c r="E22" t="s">
        <v>86</v>
      </c>
    </row>
    <row r="23" spans="1:5" x14ac:dyDescent="0.25">
      <c r="A23" s="2" t="s">
        <v>12</v>
      </c>
      <c r="B23" s="3">
        <f>C11</f>
        <v>2597.7350000000001</v>
      </c>
      <c r="C23" s="2">
        <f>C22</f>
        <v>1892</v>
      </c>
      <c r="D23" s="3">
        <f t="shared" si="0"/>
        <v>1.3730100422832983</v>
      </c>
      <c r="E23" t="s">
        <v>89</v>
      </c>
    </row>
    <row r="24" spans="1:5" x14ac:dyDescent="0.25">
      <c r="A24" s="2" t="s">
        <v>14</v>
      </c>
      <c r="B24" s="8">
        <f>C12</f>
        <v>2597.7350000000001</v>
      </c>
      <c r="C24" s="2">
        <f>C23</f>
        <v>1892</v>
      </c>
      <c r="D24" s="3">
        <f t="shared" si="0"/>
        <v>1.3730100422832983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10.011109125077413</v>
      </c>
    </row>
    <row r="27" spans="1:5" x14ac:dyDescent="0.25">
      <c r="A27" s="2" t="s">
        <v>17</v>
      </c>
      <c r="B27" s="2"/>
      <c r="C27" s="10">
        <v>0.1</v>
      </c>
      <c r="D27" s="8">
        <f>D25*C27</f>
        <v>1.0011109125077413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1.0011109125077413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12.013330950092895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0.79888650818117757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12.812217458274073</v>
      </c>
    </row>
    <row r="33" spans="1:9" x14ac:dyDescent="0.25">
      <c r="A33" s="15" t="s">
        <v>27</v>
      </c>
      <c r="B33" s="2"/>
      <c r="C33" s="2">
        <f>D6</f>
        <v>1892</v>
      </c>
      <c r="D33" s="8">
        <f>D32*C33</f>
        <v>24240.715431054548</v>
      </c>
    </row>
    <row r="35" spans="1:9" ht="50.25" customHeight="1" x14ac:dyDescent="0.25">
      <c r="A35" s="100" t="s">
        <v>152</v>
      </c>
      <c r="B35" s="100"/>
      <c r="C35" s="100"/>
      <c r="D35" s="100"/>
      <c r="E35" s="100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94" t="s">
        <v>30</v>
      </c>
      <c r="C50" s="95"/>
      <c r="D50" s="95"/>
      <c r="E50" s="95"/>
      <c r="F50" s="95"/>
      <c r="G50" s="96"/>
      <c r="H50" s="18" t="s">
        <v>31</v>
      </c>
      <c r="I50" s="18" t="s">
        <v>32</v>
      </c>
    </row>
    <row r="51" spans="1:9" x14ac:dyDescent="0.25">
      <c r="A51" s="19" t="s">
        <v>33</v>
      </c>
      <c r="B51" s="82" t="s">
        <v>34</v>
      </c>
      <c r="C51" s="83"/>
      <c r="D51" s="83"/>
      <c r="E51" s="83"/>
      <c r="F51" s="83"/>
      <c r="G51" s="84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2" t="s">
        <v>36</v>
      </c>
      <c r="C52" s="83"/>
      <c r="D52" s="83"/>
      <c r="E52" s="83"/>
      <c r="F52" s="83"/>
      <c r="G52" s="84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2" t="s">
        <v>38</v>
      </c>
      <c r="C53" s="83"/>
      <c r="D53" s="83"/>
      <c r="E53" s="83"/>
      <c r="F53" s="83"/>
      <c r="G53" s="84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2" t="s">
        <v>40</v>
      </c>
      <c r="C54" s="83"/>
      <c r="D54" s="83"/>
      <c r="E54" s="83"/>
      <c r="F54" s="83"/>
      <c r="G54" s="84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85" t="s">
        <v>42</v>
      </c>
      <c r="C55" s="86"/>
      <c r="D55" s="86"/>
      <c r="E55" s="86"/>
      <c r="F55" s="86"/>
      <c r="G55" s="8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85" t="s">
        <v>44</v>
      </c>
      <c r="C56" s="86"/>
      <c r="D56" s="86"/>
      <c r="E56" s="86"/>
      <c r="F56" s="86"/>
      <c r="G56" s="8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88" t="s">
        <v>46</v>
      </c>
      <c r="C57" s="8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85" t="s">
        <v>50</v>
      </c>
      <c r="C58" s="86"/>
      <c r="D58" s="86"/>
      <c r="E58" s="86"/>
      <c r="F58" s="86"/>
      <c r="G58" s="87"/>
      <c r="H58" s="20">
        <v>6.0000000000000001E-3</v>
      </c>
      <c r="I58" s="21">
        <f t="shared" si="1"/>
        <v>32.028931151515152</v>
      </c>
    </row>
    <row r="59" spans="1:9" x14ac:dyDescent="0.25">
      <c r="A59" s="90" t="s">
        <v>51</v>
      </c>
      <c r="B59" s="91"/>
      <c r="C59" s="91"/>
      <c r="D59" s="91"/>
      <c r="E59" s="91"/>
      <c r="F59" s="91"/>
      <c r="G59" s="9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4" spans="1:2" x14ac:dyDescent="0.25">
      <c r="A114" t="s">
        <v>93</v>
      </c>
      <c r="B114" t="s">
        <v>125</v>
      </c>
    </row>
    <row r="130" spans="1:1" x14ac:dyDescent="0.25">
      <c r="A130" t="s">
        <v>94</v>
      </c>
    </row>
    <row r="131" spans="1:1" x14ac:dyDescent="0.25">
      <c r="A131" t="s">
        <v>95</v>
      </c>
    </row>
    <row r="149" spans="1:4" ht="78" customHeight="1" x14ac:dyDescent="0.25">
      <c r="A149" s="79" t="s">
        <v>113</v>
      </c>
      <c r="B149" s="80"/>
      <c r="C149" s="80"/>
      <c r="D149" s="81"/>
    </row>
    <row r="150" spans="1:4" x14ac:dyDescent="0.25">
      <c r="A150" s="46" t="s">
        <v>120</v>
      </c>
      <c r="B150" s="47"/>
      <c r="C150" s="47"/>
      <c r="D150" s="49"/>
    </row>
    <row r="151" spans="1:4" x14ac:dyDescent="0.25">
      <c r="A151" s="46" t="s">
        <v>121</v>
      </c>
      <c r="B151" s="47"/>
      <c r="C151" s="47"/>
      <c r="D151" s="49"/>
    </row>
    <row r="152" spans="1:4" x14ac:dyDescent="0.25">
      <c r="A152" s="46" t="s">
        <v>122</v>
      </c>
      <c r="B152" s="47"/>
      <c r="C152" s="47"/>
      <c r="D152" s="49"/>
    </row>
    <row r="153" spans="1:4" x14ac:dyDescent="0.25">
      <c r="A153" s="50" t="s">
        <v>123</v>
      </c>
      <c r="B153" s="51"/>
      <c r="C153" s="51"/>
      <c r="D153" s="52"/>
    </row>
    <row r="155" spans="1:4" x14ac:dyDescent="0.25">
      <c r="C155" s="56"/>
    </row>
    <row r="159" spans="1:4" x14ac:dyDescent="0.25">
      <c r="A159" t="s">
        <v>106</v>
      </c>
    </row>
  </sheetData>
  <mergeCells count="22">
    <mergeCell ref="J10:K10"/>
    <mergeCell ref="L10:M10"/>
    <mergeCell ref="N10:O10"/>
    <mergeCell ref="J11:K11"/>
    <mergeCell ref="L11:M11"/>
    <mergeCell ref="N11:O11"/>
    <mergeCell ref="B57:C57"/>
    <mergeCell ref="B58:G58"/>
    <mergeCell ref="A59:G59"/>
    <mergeCell ref="A149:D149"/>
    <mergeCell ref="B51:G51"/>
    <mergeCell ref="B52:G52"/>
    <mergeCell ref="B53:G53"/>
    <mergeCell ref="B54:G54"/>
    <mergeCell ref="B55:G55"/>
    <mergeCell ref="B56:G56"/>
    <mergeCell ref="B50:G50"/>
    <mergeCell ref="A35:E35"/>
    <mergeCell ref="A1:F1"/>
    <mergeCell ref="E8:G8"/>
    <mergeCell ref="E15:H15"/>
    <mergeCell ref="E16:H16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70"/>
  <sheetViews>
    <sheetView workbookViewId="0">
      <selection activeCell="B12" sqref="B12"/>
    </sheetView>
  </sheetViews>
  <sheetFormatPr defaultRowHeight="15" x14ac:dyDescent="0.25"/>
  <cols>
    <col min="1" max="1" width="32.28515625" bestFit="1" customWidth="1"/>
    <col min="2" max="2" width="13.140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5" x14ac:dyDescent="0.25">
      <c r="A1" s="93" t="s">
        <v>7</v>
      </c>
      <c r="B1" s="93"/>
      <c r="C1" s="93"/>
      <c r="D1" s="93"/>
      <c r="E1" s="93"/>
      <c r="F1" s="93"/>
    </row>
    <row r="2" spans="1:15" x14ac:dyDescent="0.25">
      <c r="A2" s="63" t="s">
        <v>150</v>
      </c>
      <c r="B2" s="63"/>
      <c r="C2" s="63"/>
      <c r="D2" s="63"/>
      <c r="E2" s="63"/>
      <c r="F2" s="63"/>
    </row>
    <row r="3" spans="1:15" x14ac:dyDescent="0.25">
      <c r="A3" s="63"/>
      <c r="B3" s="39" t="s">
        <v>162</v>
      </c>
      <c r="C3" s="63"/>
      <c r="D3" s="63">
        <v>80.66</v>
      </c>
      <c r="E3" s="63"/>
      <c r="F3" s="63"/>
    </row>
    <row r="4" spans="1:15" x14ac:dyDescent="0.25">
      <c r="A4" s="63"/>
      <c r="B4" s="39"/>
      <c r="C4" s="63"/>
      <c r="D4" s="63">
        <v>20</v>
      </c>
      <c r="E4" s="63"/>
      <c r="F4" s="63"/>
    </row>
    <row r="5" spans="1:15" x14ac:dyDescent="0.25">
      <c r="A5" s="9" t="s">
        <v>151</v>
      </c>
      <c r="B5" t="s">
        <v>23</v>
      </c>
      <c r="D5">
        <f>D4*D3</f>
        <v>1613.1999999999998</v>
      </c>
    </row>
    <row r="6" spans="1:15" x14ac:dyDescent="0.25">
      <c r="B6" t="s">
        <v>110</v>
      </c>
      <c r="D6">
        <f>D5*10</f>
        <v>16131.999999999998</v>
      </c>
    </row>
    <row r="7" spans="1:15" x14ac:dyDescent="0.25">
      <c r="A7" s="63" t="s">
        <v>9</v>
      </c>
      <c r="B7" s="6">
        <v>153966</v>
      </c>
      <c r="C7" s="63"/>
      <c r="D7" s="63"/>
      <c r="E7" s="104" t="s">
        <v>104</v>
      </c>
      <c r="F7" s="104"/>
      <c r="G7" s="104"/>
      <c r="H7" s="60"/>
    </row>
    <row r="8" spans="1:15" x14ac:dyDescent="0.25">
      <c r="A8" s="63" t="s">
        <v>124</v>
      </c>
      <c r="B8" s="6">
        <f>B7*30%</f>
        <v>46189.799999999996</v>
      </c>
      <c r="C8" s="63"/>
      <c r="D8" s="63"/>
      <c r="E8" s="39" t="s">
        <v>91</v>
      </c>
      <c r="F8" s="77"/>
      <c r="G8" s="60"/>
      <c r="H8" s="60"/>
    </row>
    <row r="9" spans="1:15" x14ac:dyDescent="0.25">
      <c r="A9" s="63" t="s">
        <v>10</v>
      </c>
      <c r="B9" s="6">
        <f>B7-B8</f>
        <v>107776.20000000001</v>
      </c>
      <c r="C9" s="63"/>
      <c r="D9" s="63"/>
      <c r="E9" s="77"/>
      <c r="F9" s="77"/>
      <c r="G9" s="60"/>
      <c r="H9" s="60"/>
      <c r="J9" s="101" t="s">
        <v>158</v>
      </c>
      <c r="K9" s="101"/>
      <c r="L9" s="101" t="s">
        <v>159</v>
      </c>
      <c r="M9" s="101"/>
      <c r="N9" s="101" t="s">
        <v>160</v>
      </c>
      <c r="O9" s="101"/>
    </row>
    <row r="10" spans="1:15" x14ac:dyDescent="0.25">
      <c r="A10" s="63" t="s">
        <v>11</v>
      </c>
      <c r="B10" s="6">
        <v>60</v>
      </c>
      <c r="C10" s="6">
        <f>B9/B10</f>
        <v>1796.2700000000002</v>
      </c>
      <c r="D10" s="63"/>
      <c r="E10" s="39" t="s">
        <v>90</v>
      </c>
      <c r="F10" s="77"/>
      <c r="G10" s="60"/>
      <c r="H10" s="60"/>
      <c r="J10" s="102">
        <f>D3*D31</f>
        <v>693.98975175512737</v>
      </c>
      <c r="K10" s="101"/>
      <c r="L10" s="102">
        <f>24*J10</f>
        <v>16655.754042123059</v>
      </c>
      <c r="M10" s="101"/>
      <c r="N10" s="102">
        <f>J10*200</f>
        <v>138797.95035102547</v>
      </c>
      <c r="O10" s="101"/>
    </row>
    <row r="11" spans="1:15" x14ac:dyDescent="0.25">
      <c r="A11" s="63" t="s">
        <v>13</v>
      </c>
      <c r="B11" s="14">
        <v>0.14000000000000001</v>
      </c>
      <c r="C11" s="7">
        <f>B7*B11/12</f>
        <v>1796.2700000000002</v>
      </c>
      <c r="D11" s="63"/>
      <c r="E11" s="39" t="s">
        <v>105</v>
      </c>
      <c r="F11" s="77"/>
      <c r="G11" s="60"/>
      <c r="H11" s="60"/>
    </row>
    <row r="12" spans="1:15" x14ac:dyDescent="0.25">
      <c r="E12" s="60"/>
      <c r="F12" s="60"/>
      <c r="G12" s="60"/>
      <c r="H12" s="60"/>
    </row>
    <row r="13" spans="1:15" x14ac:dyDescent="0.25">
      <c r="A13" s="1" t="s">
        <v>0</v>
      </c>
      <c r="B13" s="1" t="s">
        <v>8</v>
      </c>
      <c r="C13" s="1" t="s">
        <v>21</v>
      </c>
      <c r="D13" s="1" t="s">
        <v>1</v>
      </c>
      <c r="E13" s="60"/>
      <c r="F13" s="60"/>
      <c r="G13" s="60"/>
      <c r="H13" s="60"/>
    </row>
    <row r="14" spans="1:15" x14ac:dyDescent="0.25">
      <c r="A14" s="2" t="s">
        <v>2</v>
      </c>
      <c r="B14" s="2">
        <v>6.28</v>
      </c>
      <c r="C14" s="2">
        <v>10</v>
      </c>
      <c r="D14" s="3">
        <f t="shared" ref="D14:D23" si="0">B14/C14</f>
        <v>0.628</v>
      </c>
      <c r="E14" s="107" t="s">
        <v>84</v>
      </c>
      <c r="F14" s="108"/>
      <c r="G14" s="108"/>
      <c r="H14" s="108"/>
    </row>
    <row r="15" spans="1:15" x14ac:dyDescent="0.25">
      <c r="A15" s="2" t="s">
        <v>6</v>
      </c>
      <c r="B15" s="3">
        <v>200</v>
      </c>
      <c r="C15" s="2">
        <f>D5</f>
        <v>1613.1999999999998</v>
      </c>
      <c r="D15" s="3">
        <f t="shared" si="0"/>
        <v>0.1239771881973717</v>
      </c>
      <c r="E15" s="107" t="s">
        <v>96</v>
      </c>
      <c r="F15" s="108"/>
      <c r="G15" s="108"/>
      <c r="H15" s="108"/>
    </row>
    <row r="16" spans="1:15" x14ac:dyDescent="0.25">
      <c r="A16" s="2" t="s">
        <v>20</v>
      </c>
      <c r="B16" s="3"/>
      <c r="C16" s="2">
        <f>C15*12</f>
        <v>19358.399999999998</v>
      </c>
      <c r="D16" s="3">
        <f t="shared" si="0"/>
        <v>0</v>
      </c>
    </row>
    <row r="17" spans="1:5" x14ac:dyDescent="0.25">
      <c r="A17" s="2" t="s">
        <v>3</v>
      </c>
      <c r="B17" s="3">
        <v>700</v>
      </c>
      <c r="C17" s="2">
        <f>C15</f>
        <v>1613.1999999999998</v>
      </c>
      <c r="D17" s="3">
        <f t="shared" si="0"/>
        <v>0.43392015869080092</v>
      </c>
      <c r="E17" t="s">
        <v>85</v>
      </c>
    </row>
    <row r="18" spans="1:5" x14ac:dyDescent="0.25">
      <c r="A18" s="2" t="s">
        <v>28</v>
      </c>
      <c r="B18" s="3">
        <v>2940</v>
      </c>
      <c r="C18" s="2">
        <v>50000</v>
      </c>
      <c r="D18" s="3">
        <f t="shared" si="0"/>
        <v>5.8799999999999998E-2</v>
      </c>
      <c r="E18" t="s">
        <v>92</v>
      </c>
    </row>
    <row r="19" spans="1:5" x14ac:dyDescent="0.25">
      <c r="A19" s="2" t="s">
        <v>109</v>
      </c>
      <c r="B19" s="3">
        <v>63.4</v>
      </c>
      <c r="C19" s="2">
        <f>C20</f>
        <v>1613.1999999999998</v>
      </c>
      <c r="D19" s="3">
        <f>B19/C19</f>
        <v>3.9300768658566826E-2</v>
      </c>
      <c r="E19" t="s">
        <v>108</v>
      </c>
    </row>
    <row r="20" spans="1:5" x14ac:dyDescent="0.25">
      <c r="A20" s="2" t="s">
        <v>26</v>
      </c>
      <c r="B20" s="3">
        <v>250</v>
      </c>
      <c r="C20" s="2">
        <f>C17</f>
        <v>1613.1999999999998</v>
      </c>
      <c r="D20" s="3">
        <f t="shared" si="0"/>
        <v>0.15497148524671461</v>
      </c>
      <c r="E20" t="s">
        <v>97</v>
      </c>
    </row>
    <row r="21" spans="1:5" x14ac:dyDescent="0.25">
      <c r="A21" s="2" t="s">
        <v>4</v>
      </c>
      <c r="B21" s="3">
        <f>I61</f>
        <v>4931.398686868687</v>
      </c>
      <c r="C21" s="2">
        <f>C17</f>
        <v>1613.1999999999998</v>
      </c>
      <c r="D21" s="3">
        <f t="shared" si="0"/>
        <v>3.0569047153909543</v>
      </c>
      <c r="E21" t="s">
        <v>86</v>
      </c>
    </row>
    <row r="22" spans="1:5" x14ac:dyDescent="0.25">
      <c r="A22" s="2" t="s">
        <v>12</v>
      </c>
      <c r="B22" s="3">
        <f>C10</f>
        <v>1796.2700000000002</v>
      </c>
      <c r="C22" s="2">
        <f>C21</f>
        <v>1613.1999999999998</v>
      </c>
      <c r="D22" s="3">
        <f t="shared" si="0"/>
        <v>1.1134825192164644</v>
      </c>
      <c r="E22" t="s">
        <v>89</v>
      </c>
    </row>
    <row r="23" spans="1:5" x14ac:dyDescent="0.25">
      <c r="A23" s="2" t="s">
        <v>14</v>
      </c>
      <c r="B23" s="8">
        <f>C11</f>
        <v>1796.2700000000002</v>
      </c>
      <c r="C23" s="2">
        <f>C22</f>
        <v>1613.1999999999998</v>
      </c>
      <c r="D23" s="3">
        <f t="shared" si="0"/>
        <v>1.1134825192164644</v>
      </c>
      <c r="E23" t="s">
        <v>89</v>
      </c>
    </row>
    <row r="24" spans="1:5" x14ac:dyDescent="0.25">
      <c r="A24" s="4" t="s">
        <v>24</v>
      </c>
      <c r="B24" s="4"/>
      <c r="C24" s="4" t="s">
        <v>5</v>
      </c>
      <c r="D24" s="5">
        <f>SUM(D14:D23)</f>
        <v>6.7228393546173368</v>
      </c>
    </row>
    <row r="26" spans="1:5" x14ac:dyDescent="0.25">
      <c r="A26" s="2" t="s">
        <v>17</v>
      </c>
      <c r="B26" s="2"/>
      <c r="C26" s="10">
        <v>0.1</v>
      </c>
      <c r="D26" s="8">
        <f>D24*C26</f>
        <v>0.67228393546173371</v>
      </c>
      <c r="E26" t="s">
        <v>88</v>
      </c>
    </row>
    <row r="27" spans="1:5" x14ac:dyDescent="0.25">
      <c r="A27" s="2" t="s">
        <v>18</v>
      </c>
      <c r="B27" s="2"/>
      <c r="C27" s="10">
        <v>0.1</v>
      </c>
      <c r="D27" s="8">
        <f>D24*C27</f>
        <v>0.67228393546173371</v>
      </c>
      <c r="E27" t="s">
        <v>88</v>
      </c>
    </row>
    <row r="28" spans="1:5" x14ac:dyDescent="0.25">
      <c r="A28" s="11" t="s">
        <v>15</v>
      </c>
      <c r="B28" s="11"/>
      <c r="C28" s="11"/>
      <c r="D28" s="12">
        <f>D27+D26+D24</f>
        <v>8.0674072255408049</v>
      </c>
    </row>
    <row r="29" spans="1:5" x14ac:dyDescent="0.25">
      <c r="A29" s="2" t="s">
        <v>16</v>
      </c>
      <c r="B29" s="2"/>
      <c r="C29" s="13">
        <v>6.6500000000000004E-2</v>
      </c>
      <c r="D29" s="8">
        <f>D28*C29</f>
        <v>0.53648258049846353</v>
      </c>
      <c r="E29" t="s">
        <v>87</v>
      </c>
    </row>
    <row r="30" spans="1:5" x14ac:dyDescent="0.25">
      <c r="A30" s="2" t="s">
        <v>19</v>
      </c>
      <c r="B30" s="2"/>
      <c r="C30" s="10"/>
      <c r="D30" s="8"/>
    </row>
    <row r="31" spans="1:5" x14ac:dyDescent="0.25">
      <c r="A31" s="11" t="s">
        <v>25</v>
      </c>
      <c r="B31" s="11"/>
      <c r="C31" s="11"/>
      <c r="D31" s="12">
        <f>D28+D29</f>
        <v>8.6038898060392679</v>
      </c>
    </row>
    <row r="32" spans="1:5" x14ac:dyDescent="0.25">
      <c r="A32" s="15" t="s">
        <v>27</v>
      </c>
      <c r="B32" s="2"/>
      <c r="C32" s="2">
        <f>D5</f>
        <v>1613.1999999999998</v>
      </c>
      <c r="D32" s="8">
        <f>D31*C32</f>
        <v>13879.795035102545</v>
      </c>
    </row>
    <row r="34" spans="1:9" ht="50.25" customHeight="1" x14ac:dyDescent="0.25">
      <c r="A34" s="100" t="s">
        <v>152</v>
      </c>
      <c r="B34" s="100"/>
      <c r="C34" s="100"/>
      <c r="D34" s="100"/>
      <c r="E34" s="100"/>
    </row>
    <row r="35" spans="1:9" x14ac:dyDescent="0.25">
      <c r="A35" s="9" t="s">
        <v>62</v>
      </c>
      <c r="C35" s="72" t="s">
        <v>153</v>
      </c>
      <c r="D35" s="16"/>
      <c r="E35" s="72" t="s">
        <v>154</v>
      </c>
    </row>
    <row r="36" spans="1:9" x14ac:dyDescent="0.25">
      <c r="A36" s="11" t="s">
        <v>79</v>
      </c>
      <c r="B36" s="2"/>
      <c r="C36" s="3">
        <v>2448.1</v>
      </c>
      <c r="D36" s="8">
        <v>220</v>
      </c>
      <c r="E36" s="2">
        <v>0</v>
      </c>
    </row>
    <row r="37" spans="1:9" x14ac:dyDescent="0.25">
      <c r="A37" s="2" t="s">
        <v>80</v>
      </c>
      <c r="B37" s="2"/>
      <c r="C37" s="3">
        <f>C36/D36*200</f>
        <v>2225.5454545454545</v>
      </c>
      <c r="D37" s="8"/>
      <c r="E37" s="70">
        <f>E36/D36*200</f>
        <v>0</v>
      </c>
    </row>
    <row r="38" spans="1:9" x14ac:dyDescent="0.25">
      <c r="A38" s="2" t="s">
        <v>52</v>
      </c>
      <c r="B38" s="10">
        <v>0.2</v>
      </c>
      <c r="C38" s="8">
        <f>C37*B38</f>
        <v>445.10909090909092</v>
      </c>
      <c r="D38" s="2"/>
      <c r="E38" s="70">
        <f>E37*B38</f>
        <v>0</v>
      </c>
    </row>
    <row r="39" spans="1:9" x14ac:dyDescent="0.25">
      <c r="A39" s="31" t="s">
        <v>60</v>
      </c>
      <c r="B39" s="10"/>
      <c r="C39" s="8"/>
      <c r="D39" s="12">
        <f>C38+C37</f>
        <v>2670.6545454545453</v>
      </c>
      <c r="E39" s="71">
        <f>SUM(E37:E38)</f>
        <v>0</v>
      </c>
    </row>
    <row r="40" spans="1:9" x14ac:dyDescent="0.25">
      <c r="A40" s="2" t="s">
        <v>53</v>
      </c>
      <c r="B40" s="2">
        <v>20</v>
      </c>
      <c r="C40" s="3">
        <v>9.4</v>
      </c>
      <c r="D40" s="3">
        <f>C40*B40</f>
        <v>188</v>
      </c>
      <c r="E40" s="8">
        <v>0</v>
      </c>
    </row>
    <row r="41" spans="1:9" x14ac:dyDescent="0.25">
      <c r="A41" s="2" t="s">
        <v>54</v>
      </c>
      <c r="B41" s="2">
        <v>1</v>
      </c>
      <c r="C41" s="3">
        <v>740</v>
      </c>
      <c r="D41" s="3">
        <f>B41*C41</f>
        <v>740</v>
      </c>
      <c r="E41" s="8">
        <v>0</v>
      </c>
    </row>
    <row r="42" spans="1:9" x14ac:dyDescent="0.25">
      <c r="A42" s="2" t="s">
        <v>81</v>
      </c>
      <c r="B42" s="2"/>
      <c r="C42" s="64">
        <v>5.0700000000000002E-2</v>
      </c>
      <c r="D42" s="3">
        <f>-D41*C42</f>
        <v>-37.518000000000001</v>
      </c>
      <c r="E42" s="70">
        <f>E41*C42</f>
        <v>0</v>
      </c>
    </row>
    <row r="43" spans="1:9" x14ac:dyDescent="0.25">
      <c r="A43" s="2" t="s">
        <v>82</v>
      </c>
      <c r="B43" s="2"/>
      <c r="C43" s="64">
        <v>0.06</v>
      </c>
      <c r="D43" s="3">
        <f>-C37*C43</f>
        <v>-133.53272727272727</v>
      </c>
      <c r="E43" s="8">
        <f>E37*C43</f>
        <v>0</v>
      </c>
    </row>
    <row r="44" spans="1:9" x14ac:dyDescent="0.25">
      <c r="A44" s="11" t="s">
        <v>55</v>
      </c>
      <c r="B44" s="11"/>
      <c r="C44" s="11"/>
      <c r="D44" s="12">
        <f>SUM(D39:D43)</f>
        <v>3427.603818181818</v>
      </c>
      <c r="E44" s="12">
        <f>SUM(E39:E43)</f>
        <v>0</v>
      </c>
    </row>
    <row r="45" spans="1:9" x14ac:dyDescent="0.25">
      <c r="A45" s="2" t="s">
        <v>56</v>
      </c>
      <c r="B45" s="2"/>
      <c r="C45" s="2"/>
      <c r="D45" s="8">
        <f>D44/12</f>
        <v>285.63365151515148</v>
      </c>
      <c r="E45" s="8">
        <f>E44/12</f>
        <v>0</v>
      </c>
    </row>
    <row r="46" spans="1:9" x14ac:dyDescent="0.25">
      <c r="A46" s="2" t="s">
        <v>57</v>
      </c>
      <c r="B46" s="2"/>
      <c r="C46" s="2"/>
      <c r="D46" s="3">
        <f>(D44/3)/12</f>
        <v>95.211217171717166</v>
      </c>
      <c r="E46" s="3">
        <f>(E44/3)/12</f>
        <v>0</v>
      </c>
    </row>
    <row r="47" spans="1:9" x14ac:dyDescent="0.25">
      <c r="A47" s="11" t="s">
        <v>58</v>
      </c>
      <c r="B47" s="11"/>
      <c r="C47" s="11"/>
      <c r="D47" s="30">
        <f>D46+D45+D44</f>
        <v>3808.4486868686868</v>
      </c>
      <c r="E47" s="30">
        <f>E46+E45+E44</f>
        <v>0</v>
      </c>
      <c r="F47" s="9" t="s">
        <v>59</v>
      </c>
      <c r="G47" s="9"/>
      <c r="H47" s="9"/>
      <c r="I47" s="29">
        <f>D39+D45+D46+E39+E45+E46</f>
        <v>3051.499414141414</v>
      </c>
    </row>
    <row r="49" spans="1:9" ht="30" x14ac:dyDescent="0.25">
      <c r="A49" s="17" t="s">
        <v>29</v>
      </c>
      <c r="B49" s="94" t="s">
        <v>30</v>
      </c>
      <c r="C49" s="95"/>
      <c r="D49" s="95"/>
      <c r="E49" s="95"/>
      <c r="F49" s="95"/>
      <c r="G49" s="96"/>
      <c r="H49" s="18" t="s">
        <v>31</v>
      </c>
      <c r="I49" s="18" t="s">
        <v>32</v>
      </c>
    </row>
    <row r="50" spans="1:9" x14ac:dyDescent="0.25">
      <c r="A50" s="19" t="s">
        <v>33</v>
      </c>
      <c r="B50" s="82" t="s">
        <v>34</v>
      </c>
      <c r="C50" s="83"/>
      <c r="D50" s="83"/>
      <c r="E50" s="83"/>
      <c r="F50" s="83"/>
      <c r="G50" s="84"/>
      <c r="H50" s="20">
        <v>0.2</v>
      </c>
      <c r="I50" s="21">
        <f>$I$47*H50</f>
        <v>610.29988282828288</v>
      </c>
    </row>
    <row r="51" spans="1:9" x14ac:dyDescent="0.25">
      <c r="A51" s="19" t="s">
        <v>35</v>
      </c>
      <c r="B51" s="82" t="s">
        <v>36</v>
      </c>
      <c r="C51" s="83"/>
      <c r="D51" s="83"/>
      <c r="E51" s="83"/>
      <c r="F51" s="83"/>
      <c r="G51" s="84"/>
      <c r="H51" s="20">
        <v>1.4999999999999999E-2</v>
      </c>
      <c r="I51" s="21">
        <f t="shared" ref="I51:I57" si="1">$I$47*H51</f>
        <v>45.77249121212121</v>
      </c>
    </row>
    <row r="52" spans="1:9" x14ac:dyDescent="0.25">
      <c r="A52" s="19" t="s">
        <v>37</v>
      </c>
      <c r="B52" s="82" t="s">
        <v>38</v>
      </c>
      <c r="C52" s="83"/>
      <c r="D52" s="83"/>
      <c r="E52" s="83"/>
      <c r="F52" s="83"/>
      <c r="G52" s="84"/>
      <c r="H52" s="20">
        <v>0.01</v>
      </c>
      <c r="I52" s="21">
        <f t="shared" si="1"/>
        <v>30.514994141414142</v>
      </c>
    </row>
    <row r="53" spans="1:9" x14ac:dyDescent="0.25">
      <c r="A53" s="19" t="s">
        <v>39</v>
      </c>
      <c r="B53" s="82" t="s">
        <v>40</v>
      </c>
      <c r="C53" s="83"/>
      <c r="D53" s="83"/>
      <c r="E53" s="83"/>
      <c r="F53" s="83"/>
      <c r="G53" s="84"/>
      <c r="H53" s="20">
        <v>2E-3</v>
      </c>
      <c r="I53" s="21">
        <f t="shared" si="1"/>
        <v>6.1029988282828285</v>
      </c>
    </row>
    <row r="54" spans="1:9" x14ac:dyDescent="0.25">
      <c r="A54" s="19" t="s">
        <v>41</v>
      </c>
      <c r="B54" s="85" t="s">
        <v>42</v>
      </c>
      <c r="C54" s="86"/>
      <c r="D54" s="86"/>
      <c r="E54" s="86"/>
      <c r="F54" s="86"/>
      <c r="G54" s="87"/>
      <c r="H54" s="20">
        <v>2.5000000000000001E-2</v>
      </c>
      <c r="I54" s="21">
        <f t="shared" si="1"/>
        <v>76.287485353535359</v>
      </c>
    </row>
    <row r="55" spans="1:9" x14ac:dyDescent="0.25">
      <c r="A55" s="19" t="s">
        <v>43</v>
      </c>
      <c r="B55" s="85" t="s">
        <v>44</v>
      </c>
      <c r="C55" s="86"/>
      <c r="D55" s="86"/>
      <c r="E55" s="86"/>
      <c r="F55" s="86"/>
      <c r="G55" s="87"/>
      <c r="H55" s="22">
        <v>0.08</v>
      </c>
      <c r="I55" s="21">
        <f t="shared" si="1"/>
        <v>244.11995313131314</v>
      </c>
    </row>
    <row r="56" spans="1:9" x14ac:dyDescent="0.25">
      <c r="A56" s="19" t="s">
        <v>45</v>
      </c>
      <c r="B56" s="88" t="s">
        <v>46</v>
      </c>
      <c r="C56" s="89"/>
      <c r="D56" s="23" t="s">
        <v>47</v>
      </c>
      <c r="E56" s="24">
        <v>0.03</v>
      </c>
      <c r="F56" s="23" t="s">
        <v>48</v>
      </c>
      <c r="G56" s="25">
        <v>1</v>
      </c>
      <c r="H56" s="26">
        <f>ROUND((E56*G56),6)</f>
        <v>0.03</v>
      </c>
      <c r="I56" s="21">
        <f t="shared" si="1"/>
        <v>91.54498242424242</v>
      </c>
    </row>
    <row r="57" spans="1:9" x14ac:dyDescent="0.25">
      <c r="A57" s="19" t="s">
        <v>49</v>
      </c>
      <c r="B57" s="85" t="s">
        <v>50</v>
      </c>
      <c r="C57" s="86"/>
      <c r="D57" s="86"/>
      <c r="E57" s="86"/>
      <c r="F57" s="86"/>
      <c r="G57" s="87"/>
      <c r="H57" s="20">
        <v>6.0000000000000001E-3</v>
      </c>
      <c r="I57" s="21">
        <f t="shared" si="1"/>
        <v>18.308996484848485</v>
      </c>
    </row>
    <row r="58" spans="1:9" x14ac:dyDescent="0.25">
      <c r="A58" s="90" t="s">
        <v>51</v>
      </c>
      <c r="B58" s="91"/>
      <c r="C58" s="91"/>
      <c r="D58" s="91"/>
      <c r="E58" s="91"/>
      <c r="F58" s="91"/>
      <c r="G58" s="92"/>
      <c r="H58" s="27">
        <f>SUM(H50:H57)</f>
        <v>0.3680000000000001</v>
      </c>
      <c r="I58" s="28">
        <f>TRUNC(SUM(I50:I57),2)</f>
        <v>1122.95</v>
      </c>
    </row>
    <row r="60" spans="1:9" x14ac:dyDescent="0.25">
      <c r="A60" s="32" t="s">
        <v>63</v>
      </c>
      <c r="B60" s="2"/>
      <c r="C60" s="2"/>
      <c r="D60" s="2"/>
      <c r="E60" s="2"/>
      <c r="F60" s="2"/>
      <c r="G60" s="2"/>
      <c r="H60" s="2"/>
      <c r="I60" s="12">
        <f>D47+I58+E47</f>
        <v>4931.398686868687</v>
      </c>
    </row>
    <row r="61" spans="1:9" x14ac:dyDescent="0.25">
      <c r="A61" s="33" t="s">
        <v>61</v>
      </c>
      <c r="B61" s="2"/>
      <c r="C61" s="2"/>
      <c r="D61" s="2"/>
      <c r="E61" s="2"/>
      <c r="F61" s="2"/>
      <c r="G61" s="2"/>
      <c r="H61" s="10">
        <v>1</v>
      </c>
      <c r="I61" s="12">
        <f>I60*H61</f>
        <v>4931.398686868687</v>
      </c>
    </row>
    <row r="65" spans="1:1" x14ac:dyDescent="0.25">
      <c r="A65" s="34" t="s">
        <v>64</v>
      </c>
    </row>
    <row r="66" spans="1:1" x14ac:dyDescent="0.25">
      <c r="A66" s="35" t="s">
        <v>65</v>
      </c>
    </row>
    <row r="67" spans="1:1" x14ac:dyDescent="0.25">
      <c r="A67" s="35" t="s">
        <v>66</v>
      </c>
    </row>
    <row r="68" spans="1:1" x14ac:dyDescent="0.25">
      <c r="A68" s="35" t="s">
        <v>67</v>
      </c>
    </row>
    <row r="69" spans="1:1" x14ac:dyDescent="0.25">
      <c r="A69" s="35" t="s">
        <v>68</v>
      </c>
    </row>
    <row r="70" spans="1:1" x14ac:dyDescent="0.25">
      <c r="A70" s="35"/>
    </row>
    <row r="71" spans="1:1" x14ac:dyDescent="0.25">
      <c r="A71" s="35"/>
    </row>
    <row r="72" spans="1:1" x14ac:dyDescent="0.25">
      <c r="A72" s="35"/>
    </row>
    <row r="73" spans="1:1" x14ac:dyDescent="0.25">
      <c r="A73" s="36" t="s">
        <v>69</v>
      </c>
    </row>
    <row r="74" spans="1:1" x14ac:dyDescent="0.25">
      <c r="A74" s="37" t="s">
        <v>70</v>
      </c>
    </row>
    <row r="75" spans="1:1" x14ac:dyDescent="0.25">
      <c r="A75" s="37" t="s">
        <v>71</v>
      </c>
    </row>
    <row r="76" spans="1:1" x14ac:dyDescent="0.25">
      <c r="A76" s="37" t="s">
        <v>72</v>
      </c>
    </row>
    <row r="77" spans="1:1" x14ac:dyDescent="0.25">
      <c r="A77" s="37" t="s">
        <v>73</v>
      </c>
    </row>
    <row r="78" spans="1:1" x14ac:dyDescent="0.25">
      <c r="A78" s="37" t="s">
        <v>74</v>
      </c>
    </row>
    <row r="79" spans="1:1" x14ac:dyDescent="0.25">
      <c r="A79" s="37" t="s">
        <v>75</v>
      </c>
    </row>
    <row r="80" spans="1:1" x14ac:dyDescent="0.25">
      <c r="A80" s="38" t="s">
        <v>76</v>
      </c>
    </row>
    <row r="83" spans="1:1" x14ac:dyDescent="0.25">
      <c r="A83" s="42" t="s">
        <v>98</v>
      </c>
    </row>
    <row r="84" spans="1:1" x14ac:dyDescent="0.25">
      <c r="A84" s="37" t="s">
        <v>99</v>
      </c>
    </row>
    <row r="85" spans="1:1" x14ac:dyDescent="0.25">
      <c r="A85" s="37" t="s">
        <v>100</v>
      </c>
    </row>
    <row r="86" spans="1:1" x14ac:dyDescent="0.25">
      <c r="A86" s="37" t="s">
        <v>101</v>
      </c>
    </row>
    <row r="87" spans="1:1" x14ac:dyDescent="0.25">
      <c r="A87" s="37" t="s">
        <v>102</v>
      </c>
    </row>
    <row r="88" spans="1:1" x14ac:dyDescent="0.25">
      <c r="A88" s="37" t="s">
        <v>103</v>
      </c>
    </row>
    <row r="89" spans="1:1" x14ac:dyDescent="0.25">
      <c r="A89" s="37"/>
    </row>
    <row r="90" spans="1:1" x14ac:dyDescent="0.25">
      <c r="A90" s="37" t="s">
        <v>161</v>
      </c>
    </row>
    <row r="113" spans="1:2" x14ac:dyDescent="0.25">
      <c r="A113" t="s">
        <v>93</v>
      </c>
      <c r="B113" t="s">
        <v>125</v>
      </c>
    </row>
    <row r="129" spans="1:1" x14ac:dyDescent="0.25">
      <c r="A129" t="s">
        <v>94</v>
      </c>
    </row>
    <row r="130" spans="1:1" x14ac:dyDescent="0.25">
      <c r="A130" t="s">
        <v>95</v>
      </c>
    </row>
    <row r="148" spans="1:4" ht="78" customHeight="1" x14ac:dyDescent="0.25">
      <c r="A148" s="79" t="s">
        <v>113</v>
      </c>
      <c r="B148" s="80"/>
      <c r="C148" s="80"/>
      <c r="D148" s="81"/>
    </row>
    <row r="149" spans="1:4" x14ac:dyDescent="0.25">
      <c r="A149" s="46"/>
      <c r="B149" s="47"/>
      <c r="C149" s="47"/>
      <c r="D149" s="49"/>
    </row>
    <row r="150" spans="1:4" x14ac:dyDescent="0.25">
      <c r="A150" s="46"/>
      <c r="B150" s="47"/>
      <c r="C150" s="47"/>
      <c r="D150" s="49"/>
    </row>
    <row r="151" spans="1:4" x14ac:dyDescent="0.25">
      <c r="A151" s="46"/>
      <c r="B151" s="47"/>
      <c r="C151" s="47"/>
      <c r="D151" s="49"/>
    </row>
    <row r="152" spans="1:4" x14ac:dyDescent="0.25">
      <c r="A152" s="50" t="s">
        <v>140</v>
      </c>
      <c r="B152" s="51"/>
      <c r="C152" s="51"/>
      <c r="D152" s="52"/>
    </row>
    <row r="170" spans="1:1" x14ac:dyDescent="0.25">
      <c r="A170" t="s">
        <v>106</v>
      </c>
    </row>
  </sheetData>
  <mergeCells count="22">
    <mergeCell ref="J9:K9"/>
    <mergeCell ref="L9:M9"/>
    <mergeCell ref="N9:O9"/>
    <mergeCell ref="J10:K10"/>
    <mergeCell ref="L10:M10"/>
    <mergeCell ref="N10:O10"/>
    <mergeCell ref="A1:F1"/>
    <mergeCell ref="E7:G7"/>
    <mergeCell ref="E14:H14"/>
    <mergeCell ref="E15:H15"/>
    <mergeCell ref="B49:G49"/>
    <mergeCell ref="B56:C56"/>
    <mergeCell ref="B57:G57"/>
    <mergeCell ref="A58:G58"/>
    <mergeCell ref="A148:D148"/>
    <mergeCell ref="A34:E34"/>
    <mergeCell ref="B50:G50"/>
    <mergeCell ref="B51:G51"/>
    <mergeCell ref="B52:G52"/>
    <mergeCell ref="B53:G53"/>
    <mergeCell ref="B54:G54"/>
    <mergeCell ref="B55:G55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5"/>
  <sheetViews>
    <sheetView zoomScale="70" zoomScaleNormal="70" workbookViewId="0">
      <selection activeCell="B13" sqref="B13"/>
    </sheetView>
  </sheetViews>
  <sheetFormatPr defaultRowHeight="15" x14ac:dyDescent="0.25"/>
  <cols>
    <col min="1" max="1" width="32.28515625" bestFit="1" customWidth="1"/>
    <col min="2" max="2" width="21.85546875" customWidth="1"/>
    <col min="3" max="3" width="17" bestFit="1" customWidth="1"/>
    <col min="4" max="4" width="11.140625" bestFit="1" customWidth="1"/>
    <col min="5" max="5" width="48.5703125" customWidth="1"/>
    <col min="6" max="6" width="5.28515625" customWidth="1"/>
    <col min="7" max="7" width="9.140625" customWidth="1"/>
    <col min="8" max="8" width="9.85546875" customWidth="1"/>
    <col min="9" max="9" width="10.5703125" bestFit="1" customWidth="1"/>
  </cols>
  <sheetData>
    <row r="1" spans="1:14" x14ac:dyDescent="0.25">
      <c r="A1" s="93" t="s">
        <v>7</v>
      </c>
      <c r="B1" s="93"/>
      <c r="C1" s="93"/>
      <c r="D1" s="93"/>
      <c r="E1" s="93"/>
      <c r="F1" s="93"/>
    </row>
    <row r="2" spans="1:14" x14ac:dyDescent="0.25">
      <c r="A2" s="40" t="s">
        <v>83</v>
      </c>
      <c r="B2" s="65"/>
      <c r="C2" s="65"/>
      <c r="D2" s="65"/>
      <c r="E2" s="65"/>
      <c r="F2" s="65"/>
    </row>
    <row r="3" spans="1:14" x14ac:dyDescent="0.25">
      <c r="B3" s="39" t="s">
        <v>157</v>
      </c>
      <c r="C3" s="65"/>
      <c r="D3" s="65">
        <v>24</v>
      </c>
      <c r="E3" s="40"/>
      <c r="F3" s="40"/>
    </row>
    <row r="4" spans="1:14" x14ac:dyDescent="0.25">
      <c r="A4" s="40"/>
      <c r="B4" s="39" t="s">
        <v>77</v>
      </c>
      <c r="C4" s="40"/>
      <c r="D4" s="45">
        <v>236.5</v>
      </c>
      <c r="E4" s="40"/>
      <c r="F4" s="40"/>
    </row>
    <row r="5" spans="1:14" x14ac:dyDescent="0.25">
      <c r="A5" s="40"/>
      <c r="B5" s="39" t="s">
        <v>78</v>
      </c>
      <c r="C5" s="40"/>
      <c r="D5" s="40">
        <v>20</v>
      </c>
      <c r="E5" s="40"/>
      <c r="F5" s="40"/>
    </row>
    <row r="6" spans="1:14" x14ac:dyDescent="0.25">
      <c r="A6" s="9" t="s">
        <v>126</v>
      </c>
      <c r="B6" t="s">
        <v>23</v>
      </c>
      <c r="D6" s="44">
        <f>D4*D5</f>
        <v>4730</v>
      </c>
    </row>
    <row r="7" spans="1:14" x14ac:dyDescent="0.25">
      <c r="B7" t="s">
        <v>111</v>
      </c>
      <c r="D7" s="44">
        <f>D6*10</f>
        <v>47300</v>
      </c>
    </row>
    <row r="8" spans="1:14" x14ac:dyDescent="0.25">
      <c r="A8" s="40" t="s">
        <v>9</v>
      </c>
      <c r="B8" s="6">
        <v>196600</v>
      </c>
      <c r="C8" s="40"/>
      <c r="D8" s="40"/>
      <c r="E8" s="39" t="s">
        <v>112</v>
      </c>
      <c r="F8" s="40"/>
    </row>
    <row r="9" spans="1:14" x14ac:dyDescent="0.25">
      <c r="A9" s="40" t="s">
        <v>124</v>
      </c>
      <c r="B9" s="6">
        <f>B8*30%</f>
        <v>58980</v>
      </c>
      <c r="C9" s="40"/>
      <c r="D9" s="40"/>
      <c r="E9" s="39" t="s">
        <v>91</v>
      </c>
      <c r="F9" s="40"/>
      <c r="I9" s="101" t="s">
        <v>158</v>
      </c>
      <c r="J9" s="101"/>
      <c r="K9" s="101" t="s">
        <v>159</v>
      </c>
      <c r="L9" s="101"/>
      <c r="M9" s="101" t="s">
        <v>160</v>
      </c>
      <c r="N9" s="101"/>
    </row>
    <row r="10" spans="1:14" x14ac:dyDescent="0.25">
      <c r="A10" s="40" t="s">
        <v>10</v>
      </c>
      <c r="B10" s="6">
        <f>B8-B9</f>
        <v>137620</v>
      </c>
      <c r="C10" s="40"/>
      <c r="D10" s="40"/>
      <c r="E10" s="75"/>
      <c r="F10" s="40"/>
      <c r="I10" s="102">
        <f>D4*D32</f>
        <v>1970.2484173431815</v>
      </c>
      <c r="J10" s="101"/>
      <c r="K10" s="102">
        <f>24*I10</f>
        <v>47285.962016236357</v>
      </c>
      <c r="L10" s="101"/>
      <c r="M10" s="102">
        <f>200*I10</f>
        <v>394049.6834686363</v>
      </c>
      <c r="N10" s="101"/>
    </row>
    <row r="11" spans="1:14" x14ac:dyDescent="0.25">
      <c r="A11" s="40" t="s">
        <v>11</v>
      </c>
      <c r="B11" s="6">
        <v>60</v>
      </c>
      <c r="C11" s="6">
        <f>B10/B11</f>
        <v>2293.6666666666665</v>
      </c>
      <c r="D11" s="40"/>
      <c r="E11" s="39" t="s">
        <v>90</v>
      </c>
      <c r="F11" s="40"/>
    </row>
    <row r="12" spans="1:14" x14ac:dyDescent="0.25">
      <c r="A12" s="40" t="s">
        <v>13</v>
      </c>
      <c r="B12" s="14">
        <v>0.14000000000000001</v>
      </c>
      <c r="C12" s="7">
        <f>B8*B12/12</f>
        <v>2293.666666666667</v>
      </c>
      <c r="D12" s="40"/>
      <c r="E12" s="39" t="s">
        <v>105</v>
      </c>
      <c r="F12" s="40"/>
    </row>
    <row r="13" spans="1:14" x14ac:dyDescent="0.25">
      <c r="E13" s="61"/>
    </row>
    <row r="14" spans="1:14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1"/>
    </row>
    <row r="15" spans="1:14" x14ac:dyDescent="0.25">
      <c r="A15" s="2" t="s">
        <v>2</v>
      </c>
      <c r="B15" s="2">
        <v>6.28</v>
      </c>
      <c r="C15" s="2">
        <v>3</v>
      </c>
      <c r="D15" s="3">
        <f t="shared" ref="D15:D24" si="0">B15/C15</f>
        <v>2.0933333333333333</v>
      </c>
      <c r="E15" s="61" t="s">
        <v>84</v>
      </c>
      <c r="F15" s="41"/>
    </row>
    <row r="16" spans="1:14" ht="28.9" customHeight="1" x14ac:dyDescent="0.25">
      <c r="A16" s="2" t="s">
        <v>6</v>
      </c>
      <c r="B16" s="3">
        <v>500</v>
      </c>
      <c r="C16" s="2">
        <f>D6</f>
        <v>4730</v>
      </c>
      <c r="D16" s="3">
        <f t="shared" si="0"/>
        <v>0.10570824524312897</v>
      </c>
      <c r="E16" s="61" t="s">
        <v>96</v>
      </c>
    </row>
    <row r="17" spans="1:5" x14ac:dyDescent="0.25">
      <c r="A17" s="2" t="s">
        <v>20</v>
      </c>
      <c r="B17" s="3"/>
      <c r="C17" s="2">
        <f>C16*12</f>
        <v>56760</v>
      </c>
      <c r="D17" s="3">
        <f t="shared" si="0"/>
        <v>0</v>
      </c>
    </row>
    <row r="18" spans="1:5" x14ac:dyDescent="0.25">
      <c r="A18" s="2" t="s">
        <v>3</v>
      </c>
      <c r="B18" s="3">
        <v>3306.04</v>
      </c>
      <c r="C18" s="2">
        <f>C16</f>
        <v>4730</v>
      </c>
      <c r="D18" s="3">
        <f t="shared" si="0"/>
        <v>0.69895137420718811</v>
      </c>
      <c r="E18" t="s">
        <v>85</v>
      </c>
    </row>
    <row r="19" spans="1:5" x14ac:dyDescent="0.25">
      <c r="A19" s="2" t="s">
        <v>114</v>
      </c>
      <c r="B19" s="3">
        <v>12105</v>
      </c>
      <c r="C19" s="2">
        <v>60000</v>
      </c>
      <c r="D19" s="3">
        <f t="shared" si="0"/>
        <v>0.20175000000000001</v>
      </c>
      <c r="E19" t="s">
        <v>92</v>
      </c>
    </row>
    <row r="20" spans="1:5" x14ac:dyDescent="0.25">
      <c r="A20" s="2" t="s">
        <v>26</v>
      </c>
      <c r="B20" s="3">
        <v>250</v>
      </c>
      <c r="C20" s="2">
        <f>C18</f>
        <v>4730</v>
      </c>
      <c r="D20" s="3">
        <f t="shared" si="0"/>
        <v>5.2854122621564484E-2</v>
      </c>
      <c r="E20" t="s">
        <v>97</v>
      </c>
    </row>
    <row r="21" spans="1:5" x14ac:dyDescent="0.25">
      <c r="A21" s="2" t="s">
        <v>107</v>
      </c>
      <c r="B21" s="3">
        <v>63.4</v>
      </c>
      <c r="C21" s="2">
        <f>C20</f>
        <v>4730</v>
      </c>
      <c r="D21" s="3">
        <f>B21/C21</f>
        <v>1.3403805496828753E-2</v>
      </c>
      <c r="E21" t="s">
        <v>108</v>
      </c>
    </row>
    <row r="22" spans="1:5" x14ac:dyDescent="0.25">
      <c r="A22" s="2" t="s">
        <v>4</v>
      </c>
      <c r="B22" s="3">
        <f>I62</f>
        <v>11227.424949494947</v>
      </c>
      <c r="C22" s="2">
        <f>C18</f>
        <v>4730</v>
      </c>
      <c r="D22" s="3">
        <f t="shared" si="0"/>
        <v>2.3736627800200734</v>
      </c>
      <c r="E22" t="s">
        <v>86</v>
      </c>
    </row>
    <row r="23" spans="1:5" x14ac:dyDescent="0.25">
      <c r="A23" s="2" t="s">
        <v>12</v>
      </c>
      <c r="B23" s="3">
        <f>C11</f>
        <v>2293.6666666666665</v>
      </c>
      <c r="C23" s="2">
        <f>C22</f>
        <v>4730</v>
      </c>
      <c r="D23" s="3">
        <f t="shared" si="0"/>
        <v>0.48491895701198023</v>
      </c>
      <c r="E23" t="s">
        <v>89</v>
      </c>
    </row>
    <row r="24" spans="1:5" x14ac:dyDescent="0.25">
      <c r="A24" s="2" t="s">
        <v>14</v>
      </c>
      <c r="B24" s="8">
        <f>C12</f>
        <v>2293.666666666667</v>
      </c>
      <c r="C24" s="2">
        <f>C23</f>
        <v>4730</v>
      </c>
      <c r="D24" s="3">
        <f t="shared" si="0"/>
        <v>0.48491895701198034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6.5095015749460767</v>
      </c>
    </row>
    <row r="27" spans="1:5" x14ac:dyDescent="0.25">
      <c r="A27" s="2" t="s">
        <v>17</v>
      </c>
      <c r="B27" s="2"/>
      <c r="C27" s="10">
        <v>0.1</v>
      </c>
      <c r="D27" s="8">
        <f>D25*C27</f>
        <v>0.65095015749460772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0.65095015749460772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7.8114018899352917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0.51945822568069688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8.3308601156159892</v>
      </c>
    </row>
    <row r="33" spans="1:9" x14ac:dyDescent="0.25">
      <c r="A33" s="15" t="s">
        <v>27</v>
      </c>
      <c r="B33" s="2"/>
      <c r="C33" s="2">
        <f>D6</f>
        <v>4730</v>
      </c>
      <c r="D33" s="8">
        <f>D32*C33</f>
        <v>39404.968346863629</v>
      </c>
    </row>
    <row r="35" spans="1:9" ht="50.25" customHeight="1" x14ac:dyDescent="0.25">
      <c r="A35" s="100" t="s">
        <v>152</v>
      </c>
      <c r="B35" s="100"/>
      <c r="C35" s="100"/>
      <c r="D35" s="100"/>
      <c r="E35" s="100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3767.43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3424.9363636363632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684.98727272727274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4109.9236363636355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-205.49618181818178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4794.9094545454536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399.57578787878782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133.19192929292927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5327.6771717171705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6929.3471313131304</v>
      </c>
    </row>
    <row r="50" spans="1:9" ht="30" x14ac:dyDescent="0.25">
      <c r="A50" s="17" t="s">
        <v>29</v>
      </c>
      <c r="B50" s="94" t="s">
        <v>30</v>
      </c>
      <c r="C50" s="95"/>
      <c r="D50" s="95"/>
      <c r="E50" s="95"/>
      <c r="F50" s="95"/>
      <c r="G50" s="96"/>
      <c r="H50" s="18" t="s">
        <v>31</v>
      </c>
      <c r="I50" s="18" t="s">
        <v>32</v>
      </c>
    </row>
    <row r="51" spans="1:9" x14ac:dyDescent="0.25">
      <c r="A51" s="19" t="s">
        <v>33</v>
      </c>
      <c r="B51" s="82" t="s">
        <v>34</v>
      </c>
      <c r="C51" s="83"/>
      <c r="D51" s="83"/>
      <c r="E51" s="83"/>
      <c r="F51" s="83"/>
      <c r="G51" s="84"/>
      <c r="H51" s="20">
        <v>0.2</v>
      </c>
      <c r="I51" s="21">
        <f>$I$48*H51</f>
        <v>1385.8694262626261</v>
      </c>
    </row>
    <row r="52" spans="1:9" x14ac:dyDescent="0.25">
      <c r="A52" s="19" t="s">
        <v>35</v>
      </c>
      <c r="B52" s="82" t="s">
        <v>36</v>
      </c>
      <c r="C52" s="83"/>
      <c r="D52" s="83"/>
      <c r="E52" s="83"/>
      <c r="F52" s="83"/>
      <c r="G52" s="84"/>
      <c r="H52" s="20">
        <v>1.4999999999999999E-2</v>
      </c>
      <c r="I52" s="21">
        <f t="shared" ref="I52:I58" si="1">$I$48*H52</f>
        <v>103.94020696969694</v>
      </c>
    </row>
    <row r="53" spans="1:9" x14ac:dyDescent="0.25">
      <c r="A53" s="19" t="s">
        <v>37</v>
      </c>
      <c r="B53" s="82" t="s">
        <v>38</v>
      </c>
      <c r="C53" s="83"/>
      <c r="D53" s="83"/>
      <c r="E53" s="83"/>
      <c r="F53" s="83"/>
      <c r="G53" s="84"/>
      <c r="H53" s="20">
        <v>0.01</v>
      </c>
      <c r="I53" s="21">
        <f t="shared" si="1"/>
        <v>69.293471313131306</v>
      </c>
    </row>
    <row r="54" spans="1:9" x14ac:dyDescent="0.25">
      <c r="A54" s="19" t="s">
        <v>39</v>
      </c>
      <c r="B54" s="82" t="s">
        <v>40</v>
      </c>
      <c r="C54" s="83"/>
      <c r="D54" s="83"/>
      <c r="E54" s="83"/>
      <c r="F54" s="83"/>
      <c r="G54" s="84"/>
      <c r="H54" s="20">
        <v>2E-3</v>
      </c>
      <c r="I54" s="21">
        <f t="shared" si="1"/>
        <v>13.858694262626262</v>
      </c>
    </row>
    <row r="55" spans="1:9" x14ac:dyDescent="0.25">
      <c r="A55" s="19" t="s">
        <v>41</v>
      </c>
      <c r="B55" s="85" t="s">
        <v>42</v>
      </c>
      <c r="C55" s="86"/>
      <c r="D55" s="86"/>
      <c r="E55" s="86"/>
      <c r="F55" s="86"/>
      <c r="G55" s="87"/>
      <c r="H55" s="20">
        <v>2.5000000000000001E-2</v>
      </c>
      <c r="I55" s="21">
        <f t="shared" si="1"/>
        <v>173.23367828282827</v>
      </c>
    </row>
    <row r="56" spans="1:9" x14ac:dyDescent="0.25">
      <c r="A56" s="19" t="s">
        <v>43</v>
      </c>
      <c r="B56" s="85" t="s">
        <v>44</v>
      </c>
      <c r="C56" s="86"/>
      <c r="D56" s="86"/>
      <c r="E56" s="86"/>
      <c r="F56" s="86"/>
      <c r="G56" s="87"/>
      <c r="H56" s="22">
        <v>0.08</v>
      </c>
      <c r="I56" s="21">
        <f t="shared" si="1"/>
        <v>554.34777050505045</v>
      </c>
    </row>
    <row r="57" spans="1:9" ht="25.5" x14ac:dyDescent="0.25">
      <c r="A57" s="19" t="s">
        <v>45</v>
      </c>
      <c r="B57" s="88" t="s">
        <v>46</v>
      </c>
      <c r="C57" s="8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207.88041393939389</v>
      </c>
    </row>
    <row r="58" spans="1:9" x14ac:dyDescent="0.25">
      <c r="A58" s="19" t="s">
        <v>49</v>
      </c>
      <c r="B58" s="85" t="s">
        <v>50</v>
      </c>
      <c r="C58" s="86"/>
      <c r="D58" s="86"/>
      <c r="E58" s="86"/>
      <c r="F58" s="86"/>
      <c r="G58" s="87"/>
      <c r="H58" s="20">
        <v>6.0000000000000001E-3</v>
      </c>
      <c r="I58" s="21">
        <f t="shared" si="1"/>
        <v>41.576082787878782</v>
      </c>
    </row>
    <row r="59" spans="1:9" x14ac:dyDescent="0.25">
      <c r="A59" s="90" t="s">
        <v>51</v>
      </c>
      <c r="B59" s="91"/>
      <c r="C59" s="91"/>
      <c r="D59" s="91"/>
      <c r="E59" s="91"/>
      <c r="F59" s="91"/>
      <c r="G59" s="92"/>
      <c r="H59" s="27">
        <f>SUM(H51:H58)</f>
        <v>0.3680000000000001</v>
      </c>
      <c r="I59" s="28">
        <f>TRUNC(SUM(I51:I58),2)</f>
        <v>2549.9899999999998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11227.424949494947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11227.424949494947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3" spans="1:1" x14ac:dyDescent="0.25">
      <c r="A83" s="42" t="s">
        <v>98</v>
      </c>
    </row>
    <row r="84" spans="1:1" x14ac:dyDescent="0.25">
      <c r="A84" s="37" t="s">
        <v>99</v>
      </c>
    </row>
    <row r="85" spans="1:1" x14ac:dyDescent="0.25">
      <c r="A85" s="37" t="s">
        <v>100</v>
      </c>
    </row>
    <row r="86" spans="1:1" x14ac:dyDescent="0.25">
      <c r="A86" s="37" t="s">
        <v>102</v>
      </c>
    </row>
    <row r="87" spans="1:1" x14ac:dyDescent="0.25">
      <c r="A87" s="37" t="s">
        <v>103</v>
      </c>
    </row>
    <row r="88" spans="1:1" x14ac:dyDescent="0.25">
      <c r="A88" s="37"/>
    </row>
    <row r="89" spans="1:1" x14ac:dyDescent="0.25">
      <c r="A89" s="37" t="s">
        <v>161</v>
      </c>
    </row>
    <row r="112" spans="1:5" x14ac:dyDescent="0.25">
      <c r="A112" t="s">
        <v>93</v>
      </c>
      <c r="B112" t="s">
        <v>115</v>
      </c>
      <c r="C112" s="53">
        <v>2017.5</v>
      </c>
      <c r="D112" t="s">
        <v>116</v>
      </c>
      <c r="E112" s="57">
        <f>C112*6</f>
        <v>12105</v>
      </c>
    </row>
    <row r="113" spans="1:6" x14ac:dyDescent="0.25">
      <c r="A113" s="103" t="s">
        <v>129</v>
      </c>
      <c r="B113" s="103"/>
      <c r="C113" s="103"/>
      <c r="D113" s="103"/>
      <c r="E113" s="103"/>
      <c r="F113" s="103"/>
    </row>
    <row r="128" spans="1:6" x14ac:dyDescent="0.25">
      <c r="A128" t="s">
        <v>94</v>
      </c>
    </row>
    <row r="129" spans="1:1" x14ac:dyDescent="0.25">
      <c r="A129" t="s">
        <v>95</v>
      </c>
    </row>
    <row r="148" spans="1:4" ht="141.75" customHeight="1" x14ac:dyDescent="0.25">
      <c r="A148" s="79" t="s">
        <v>127</v>
      </c>
      <c r="B148" s="80"/>
      <c r="C148" s="80"/>
      <c r="D148" s="81"/>
    </row>
    <row r="149" spans="1:4" x14ac:dyDescent="0.25">
      <c r="B149" s="47"/>
      <c r="C149" s="47"/>
      <c r="D149" s="49"/>
    </row>
    <row r="150" spans="1:4" x14ac:dyDescent="0.25">
      <c r="A150" s="48"/>
      <c r="B150" s="47"/>
      <c r="C150" s="47"/>
      <c r="D150" s="49"/>
    </row>
    <row r="151" spans="1:4" x14ac:dyDescent="0.25">
      <c r="A151" s="48"/>
      <c r="B151" s="47"/>
      <c r="C151" s="47"/>
      <c r="D151" s="49"/>
    </row>
    <row r="152" spans="1:4" x14ac:dyDescent="0.25">
      <c r="A152" s="50" t="s">
        <v>128</v>
      </c>
      <c r="B152" s="51"/>
      <c r="C152" s="51"/>
      <c r="D152" s="52"/>
    </row>
    <row r="155" spans="1:4" x14ac:dyDescent="0.25">
      <c r="A155" t="s">
        <v>106</v>
      </c>
    </row>
  </sheetData>
  <mergeCells count="20">
    <mergeCell ref="I9:J9"/>
    <mergeCell ref="K9:L9"/>
    <mergeCell ref="M9:N9"/>
    <mergeCell ref="I10:J10"/>
    <mergeCell ref="K10:L10"/>
    <mergeCell ref="M10:N10"/>
    <mergeCell ref="A148:D148"/>
    <mergeCell ref="A59:G59"/>
    <mergeCell ref="A1:F1"/>
    <mergeCell ref="B50:G50"/>
    <mergeCell ref="B51:G51"/>
    <mergeCell ref="B52:G52"/>
    <mergeCell ref="B53:G53"/>
    <mergeCell ref="B54:G54"/>
    <mergeCell ref="B55:G55"/>
    <mergeCell ref="B56:G56"/>
    <mergeCell ref="B57:C57"/>
    <mergeCell ref="B58:G58"/>
    <mergeCell ref="A113:F113"/>
    <mergeCell ref="A35:E35"/>
  </mergeCells>
  <pageMargins left="0.511811024" right="0.511811024" top="0.78740157499999996" bottom="0.78740157499999996" header="0.31496062000000002" footer="0.31496062000000002"/>
  <pageSetup paperSize="9" orientation="landscape" horizontalDpi="360" verticalDpi="36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59"/>
  <sheetViews>
    <sheetView workbookViewId="0">
      <selection activeCell="B13" sqref="B13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1.140625" bestFit="1" customWidth="1"/>
    <col min="5" max="5" width="23.7109375" customWidth="1"/>
    <col min="6" max="6" width="5.28515625" customWidth="1"/>
    <col min="7" max="7" width="9.140625" customWidth="1"/>
    <col min="8" max="8" width="9.85546875" customWidth="1"/>
    <col min="9" max="9" width="10.42578125" bestFit="1" customWidth="1"/>
  </cols>
  <sheetData>
    <row r="1" spans="1:17" x14ac:dyDescent="0.25">
      <c r="A1" s="93" t="s">
        <v>7</v>
      </c>
      <c r="B1" s="93"/>
      <c r="C1" s="93"/>
      <c r="D1" s="93"/>
      <c r="E1" s="93"/>
      <c r="F1" s="93"/>
    </row>
    <row r="2" spans="1:17" x14ac:dyDescent="0.25">
      <c r="A2" s="54" t="s">
        <v>130</v>
      </c>
      <c r="B2" s="65"/>
      <c r="C2" s="65"/>
      <c r="D2" s="65"/>
      <c r="E2" s="65"/>
      <c r="F2" s="65"/>
    </row>
    <row r="3" spans="1:17" x14ac:dyDescent="0.25">
      <c r="B3" s="39" t="s">
        <v>157</v>
      </c>
      <c r="C3" s="65"/>
      <c r="D3" s="65">
        <v>24</v>
      </c>
      <c r="E3" s="54"/>
      <c r="F3" s="54"/>
    </row>
    <row r="4" spans="1:17" x14ac:dyDescent="0.25">
      <c r="A4" s="54"/>
      <c r="B4" s="39" t="s">
        <v>77</v>
      </c>
      <c r="C4" s="54"/>
      <c r="D4" s="45">
        <v>95.7</v>
      </c>
      <c r="E4" s="54"/>
      <c r="F4" s="54"/>
    </row>
    <row r="5" spans="1:17" x14ac:dyDescent="0.25">
      <c r="A5" s="54"/>
      <c r="B5" s="39" t="s">
        <v>78</v>
      </c>
      <c r="C5" s="54"/>
      <c r="D5" s="54">
        <v>20</v>
      </c>
      <c r="E5" s="54"/>
      <c r="F5" s="54"/>
    </row>
    <row r="6" spans="1:17" x14ac:dyDescent="0.25">
      <c r="A6" s="9" t="s">
        <v>117</v>
      </c>
      <c r="B6" t="s">
        <v>23</v>
      </c>
      <c r="D6" s="44">
        <f>D4*D5</f>
        <v>1914</v>
      </c>
    </row>
    <row r="7" spans="1:17" x14ac:dyDescent="0.25">
      <c r="B7" t="s">
        <v>111</v>
      </c>
      <c r="D7" s="44">
        <f>D6*10</f>
        <v>19140</v>
      </c>
    </row>
    <row r="8" spans="1:17" x14ac:dyDescent="0.25">
      <c r="A8" s="54" t="s">
        <v>9</v>
      </c>
      <c r="B8" s="6">
        <v>196600</v>
      </c>
      <c r="C8" s="54"/>
      <c r="D8" s="54"/>
      <c r="E8" s="104" t="s">
        <v>112</v>
      </c>
      <c r="F8" s="104"/>
      <c r="G8" s="104"/>
      <c r="H8" s="104"/>
    </row>
    <row r="9" spans="1:17" x14ac:dyDescent="0.25">
      <c r="A9" s="54" t="s">
        <v>124</v>
      </c>
      <c r="B9" s="6">
        <f>B8*30%</f>
        <v>58980</v>
      </c>
      <c r="C9" s="54"/>
      <c r="D9" s="54"/>
      <c r="E9" s="39" t="s">
        <v>91</v>
      </c>
      <c r="F9" s="75"/>
      <c r="G9" s="61"/>
      <c r="H9" s="61"/>
      <c r="L9" s="101" t="s">
        <v>158</v>
      </c>
      <c r="M9" s="101"/>
      <c r="N9" s="101" t="s">
        <v>159</v>
      </c>
      <c r="O9" s="101"/>
      <c r="P9" s="101" t="s">
        <v>160</v>
      </c>
      <c r="Q9" s="101"/>
    </row>
    <row r="10" spans="1:17" x14ac:dyDescent="0.25">
      <c r="A10" s="54" t="s">
        <v>10</v>
      </c>
      <c r="B10" s="6">
        <f>B8-B9</f>
        <v>137620</v>
      </c>
      <c r="C10" s="54"/>
      <c r="D10" s="54"/>
      <c r="E10" s="75"/>
      <c r="F10" s="75"/>
      <c r="G10" s="61"/>
      <c r="H10" s="61"/>
      <c r="L10" s="102">
        <f>D4*D32</f>
        <v>1492.5877248231818</v>
      </c>
      <c r="M10" s="101"/>
      <c r="N10" s="102">
        <f>L10*D3</f>
        <v>35822.105395756364</v>
      </c>
      <c r="O10" s="101"/>
      <c r="P10" s="102">
        <f>L10*200</f>
        <v>298517.54496463638</v>
      </c>
      <c r="Q10" s="101"/>
    </row>
    <row r="11" spans="1:17" x14ac:dyDescent="0.25">
      <c r="A11" s="54" t="s">
        <v>11</v>
      </c>
      <c r="B11" s="6">
        <v>60</v>
      </c>
      <c r="C11" s="6">
        <f>B10/B11</f>
        <v>2293.6666666666665</v>
      </c>
      <c r="D11" s="54"/>
      <c r="E11" s="39" t="s">
        <v>90</v>
      </c>
      <c r="F11" s="75"/>
      <c r="G11" s="61"/>
      <c r="H11" s="61"/>
    </row>
    <row r="12" spans="1:17" x14ac:dyDescent="0.25">
      <c r="A12" s="54" t="s">
        <v>13</v>
      </c>
      <c r="B12" s="14">
        <v>0.14000000000000001</v>
      </c>
      <c r="C12" s="7">
        <f>B8*B12/12</f>
        <v>2293.666666666667</v>
      </c>
      <c r="D12" s="54"/>
      <c r="E12" s="39" t="s">
        <v>105</v>
      </c>
      <c r="F12" s="75"/>
      <c r="G12" s="61"/>
      <c r="H12" s="61"/>
    </row>
    <row r="13" spans="1:17" x14ac:dyDescent="0.25">
      <c r="E13" s="61"/>
      <c r="F13" s="61"/>
      <c r="G13" s="61"/>
      <c r="H13" s="61"/>
    </row>
    <row r="14" spans="1:17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1"/>
      <c r="F14" s="61"/>
      <c r="G14" s="61"/>
      <c r="H14" s="61"/>
    </row>
    <row r="15" spans="1:17" x14ac:dyDescent="0.25">
      <c r="A15" s="2" t="s">
        <v>2</v>
      </c>
      <c r="B15" s="2">
        <v>6.28</v>
      </c>
      <c r="C15" s="2">
        <v>4</v>
      </c>
      <c r="D15" s="3">
        <f t="shared" ref="D15:D24" si="0">B15/C15</f>
        <v>1.57</v>
      </c>
      <c r="E15" s="105" t="s">
        <v>84</v>
      </c>
      <c r="F15" s="106"/>
      <c r="G15" s="106"/>
      <c r="H15" s="106"/>
    </row>
    <row r="16" spans="1:17" x14ac:dyDescent="0.25">
      <c r="A16" s="2" t="s">
        <v>6</v>
      </c>
      <c r="B16" s="3">
        <v>500</v>
      </c>
      <c r="C16" s="2">
        <f>D6</f>
        <v>1914</v>
      </c>
      <c r="D16" s="3">
        <f t="shared" si="0"/>
        <v>0.2612330198537095</v>
      </c>
      <c r="E16" s="61" t="s">
        <v>96</v>
      </c>
      <c r="F16" s="61"/>
      <c r="G16" s="61"/>
      <c r="H16" s="61"/>
    </row>
    <row r="17" spans="1:5" x14ac:dyDescent="0.25">
      <c r="A17" s="2" t="s">
        <v>20</v>
      </c>
      <c r="B17" s="3"/>
      <c r="C17" s="2">
        <f>C16*12</f>
        <v>22968</v>
      </c>
      <c r="D17" s="3">
        <f t="shared" si="0"/>
        <v>0</v>
      </c>
    </row>
    <row r="18" spans="1:5" x14ac:dyDescent="0.25">
      <c r="A18" s="2" t="s">
        <v>3</v>
      </c>
      <c r="B18" s="3">
        <v>3306.04</v>
      </c>
      <c r="C18" s="2">
        <f>C16</f>
        <v>1914</v>
      </c>
      <c r="D18" s="3">
        <f t="shared" si="0"/>
        <v>1.7272936259143155</v>
      </c>
      <c r="E18" t="s">
        <v>85</v>
      </c>
    </row>
    <row r="19" spans="1:5" x14ac:dyDescent="0.25">
      <c r="A19" s="2" t="s">
        <v>114</v>
      </c>
      <c r="B19" s="3">
        <v>12105</v>
      </c>
      <c r="C19" s="2">
        <v>60000</v>
      </c>
      <c r="D19" s="3">
        <f t="shared" si="0"/>
        <v>0.20175000000000001</v>
      </c>
      <c r="E19" t="s">
        <v>92</v>
      </c>
    </row>
    <row r="20" spans="1:5" x14ac:dyDescent="0.25">
      <c r="A20" s="2" t="s">
        <v>26</v>
      </c>
      <c r="B20" s="3">
        <v>250</v>
      </c>
      <c r="C20" s="2">
        <f>C18</f>
        <v>1914</v>
      </c>
      <c r="D20" s="3">
        <f t="shared" si="0"/>
        <v>0.13061650992685475</v>
      </c>
      <c r="E20" t="s">
        <v>97</v>
      </c>
    </row>
    <row r="21" spans="1:5" x14ac:dyDescent="0.25">
      <c r="A21" s="2" t="s">
        <v>107</v>
      </c>
      <c r="B21" s="3">
        <v>63.4</v>
      </c>
      <c r="C21" s="2">
        <f>C20</f>
        <v>1914</v>
      </c>
      <c r="D21" s="3">
        <f>B21/C21</f>
        <v>3.3124346917450365E-2</v>
      </c>
      <c r="E21" t="s">
        <v>108</v>
      </c>
    </row>
    <row r="22" spans="1:5" x14ac:dyDescent="0.25">
      <c r="A22" s="2" t="s">
        <v>4</v>
      </c>
      <c r="B22" s="3">
        <f>I62</f>
        <v>11227.424949494947</v>
      </c>
      <c r="C22" s="2">
        <f>C18</f>
        <v>1914</v>
      </c>
      <c r="D22" s="3">
        <f t="shared" si="0"/>
        <v>5.8659482494748945</v>
      </c>
      <c r="E22" t="s">
        <v>86</v>
      </c>
    </row>
    <row r="23" spans="1:5" x14ac:dyDescent="0.25">
      <c r="A23" s="2" t="s">
        <v>12</v>
      </c>
      <c r="B23" s="3">
        <f>C11</f>
        <v>2293.6666666666665</v>
      </c>
      <c r="C23" s="2">
        <f>C22</f>
        <v>1914</v>
      </c>
      <c r="D23" s="3">
        <f t="shared" si="0"/>
        <v>1.1983629397422499</v>
      </c>
      <c r="E23" t="s">
        <v>89</v>
      </c>
    </row>
    <row r="24" spans="1:5" x14ac:dyDescent="0.25">
      <c r="A24" s="2" t="s">
        <v>14</v>
      </c>
      <c r="B24" s="8">
        <f>C12</f>
        <v>2293.666666666667</v>
      </c>
      <c r="C24" s="2">
        <f>C23</f>
        <v>1914</v>
      </c>
      <c r="D24" s="3">
        <f t="shared" si="0"/>
        <v>1.1983629397422502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12.186691631571724</v>
      </c>
    </row>
    <row r="27" spans="1:5" x14ac:dyDescent="0.25">
      <c r="A27" s="2" t="s">
        <v>17</v>
      </c>
      <c r="B27" s="2"/>
      <c r="C27" s="10">
        <v>0.1</v>
      </c>
      <c r="D27" s="8">
        <f>D25*C27</f>
        <v>1.2186691631571724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1.2186691631571724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14.624029957886069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0.97249799219942368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15.596527950085493</v>
      </c>
    </row>
    <row r="33" spans="1:9" x14ac:dyDescent="0.25">
      <c r="A33" s="15" t="s">
        <v>27</v>
      </c>
      <c r="B33" s="2"/>
      <c r="C33" s="2">
        <f>D6</f>
        <v>1914</v>
      </c>
      <c r="D33" s="8">
        <f>D32*C33</f>
        <v>29851.754496463633</v>
      </c>
    </row>
    <row r="35" spans="1:9" ht="50.25" customHeight="1" x14ac:dyDescent="0.25">
      <c r="A35" s="100" t="s">
        <v>152</v>
      </c>
      <c r="B35" s="100"/>
      <c r="C35" s="100"/>
      <c r="D35" s="100"/>
      <c r="E35" s="100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3767.43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3424.9363636363632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684.98727272727274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4109.9236363636355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-205.49618181818178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4794.9094545454536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399.57578787878782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133.19192929292927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5327.6771717171705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6929.3471313131304</v>
      </c>
    </row>
    <row r="50" spans="1:9" ht="30" x14ac:dyDescent="0.25">
      <c r="A50" s="17" t="s">
        <v>29</v>
      </c>
      <c r="B50" s="94" t="s">
        <v>30</v>
      </c>
      <c r="C50" s="95"/>
      <c r="D50" s="95"/>
      <c r="E50" s="95"/>
      <c r="F50" s="95"/>
      <c r="G50" s="96"/>
      <c r="H50" s="18" t="s">
        <v>31</v>
      </c>
      <c r="I50" s="18" t="s">
        <v>32</v>
      </c>
    </row>
    <row r="51" spans="1:9" x14ac:dyDescent="0.25">
      <c r="A51" s="19" t="s">
        <v>33</v>
      </c>
      <c r="B51" s="82" t="s">
        <v>34</v>
      </c>
      <c r="C51" s="83"/>
      <c r="D51" s="83"/>
      <c r="E51" s="83"/>
      <c r="F51" s="83"/>
      <c r="G51" s="84"/>
      <c r="H51" s="20">
        <v>0.2</v>
      </c>
      <c r="I51" s="21">
        <f>$I$48*H51</f>
        <v>1385.8694262626261</v>
      </c>
    </row>
    <row r="52" spans="1:9" x14ac:dyDescent="0.25">
      <c r="A52" s="19" t="s">
        <v>35</v>
      </c>
      <c r="B52" s="82" t="s">
        <v>36</v>
      </c>
      <c r="C52" s="83"/>
      <c r="D52" s="83"/>
      <c r="E52" s="83"/>
      <c r="F52" s="83"/>
      <c r="G52" s="84"/>
      <c r="H52" s="20">
        <v>1.4999999999999999E-2</v>
      </c>
      <c r="I52" s="21">
        <f t="shared" ref="I52:I58" si="1">$I$48*H52</f>
        <v>103.94020696969694</v>
      </c>
    </row>
    <row r="53" spans="1:9" x14ac:dyDescent="0.25">
      <c r="A53" s="19" t="s">
        <v>37</v>
      </c>
      <c r="B53" s="82" t="s">
        <v>38</v>
      </c>
      <c r="C53" s="83"/>
      <c r="D53" s="83"/>
      <c r="E53" s="83"/>
      <c r="F53" s="83"/>
      <c r="G53" s="84"/>
      <c r="H53" s="20">
        <v>0.01</v>
      </c>
      <c r="I53" s="21">
        <f t="shared" si="1"/>
        <v>69.293471313131306</v>
      </c>
    </row>
    <row r="54" spans="1:9" x14ac:dyDescent="0.25">
      <c r="A54" s="19" t="s">
        <v>39</v>
      </c>
      <c r="B54" s="82" t="s">
        <v>40</v>
      </c>
      <c r="C54" s="83"/>
      <c r="D54" s="83"/>
      <c r="E54" s="83"/>
      <c r="F54" s="83"/>
      <c r="G54" s="84"/>
      <c r="H54" s="20">
        <v>2E-3</v>
      </c>
      <c r="I54" s="21">
        <f t="shared" si="1"/>
        <v>13.858694262626262</v>
      </c>
    </row>
    <row r="55" spans="1:9" x14ac:dyDescent="0.25">
      <c r="A55" s="19" t="s">
        <v>41</v>
      </c>
      <c r="B55" s="85" t="s">
        <v>42</v>
      </c>
      <c r="C55" s="86"/>
      <c r="D55" s="86"/>
      <c r="E55" s="86"/>
      <c r="F55" s="86"/>
      <c r="G55" s="87"/>
      <c r="H55" s="20">
        <v>2.5000000000000001E-2</v>
      </c>
      <c r="I55" s="21">
        <f t="shared" si="1"/>
        <v>173.23367828282827</v>
      </c>
    </row>
    <row r="56" spans="1:9" x14ac:dyDescent="0.25">
      <c r="A56" s="19" t="s">
        <v>43</v>
      </c>
      <c r="B56" s="85" t="s">
        <v>44</v>
      </c>
      <c r="C56" s="86"/>
      <c r="D56" s="86"/>
      <c r="E56" s="86"/>
      <c r="F56" s="86"/>
      <c r="G56" s="87"/>
      <c r="H56" s="22">
        <v>0.08</v>
      </c>
      <c r="I56" s="21">
        <f t="shared" si="1"/>
        <v>554.34777050505045</v>
      </c>
    </row>
    <row r="57" spans="1:9" ht="25.5" x14ac:dyDescent="0.25">
      <c r="A57" s="19" t="s">
        <v>45</v>
      </c>
      <c r="B57" s="88" t="s">
        <v>46</v>
      </c>
      <c r="C57" s="8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207.88041393939389</v>
      </c>
    </row>
    <row r="58" spans="1:9" x14ac:dyDescent="0.25">
      <c r="A58" s="19" t="s">
        <v>49</v>
      </c>
      <c r="B58" s="85" t="s">
        <v>50</v>
      </c>
      <c r="C58" s="86"/>
      <c r="D58" s="86"/>
      <c r="E58" s="86"/>
      <c r="F58" s="86"/>
      <c r="G58" s="87"/>
      <c r="H58" s="20">
        <v>6.0000000000000001E-3</v>
      </c>
      <c r="I58" s="21">
        <f t="shared" si="1"/>
        <v>41.576082787878782</v>
      </c>
    </row>
    <row r="59" spans="1:9" x14ac:dyDescent="0.25">
      <c r="A59" s="90" t="s">
        <v>51</v>
      </c>
      <c r="B59" s="91"/>
      <c r="C59" s="91"/>
      <c r="D59" s="91"/>
      <c r="E59" s="91"/>
      <c r="F59" s="91"/>
      <c r="G59" s="92"/>
      <c r="H59" s="27">
        <f>SUM(H51:H58)</f>
        <v>0.3680000000000001</v>
      </c>
      <c r="I59" s="28">
        <f>TRUNC(SUM(I51:I58),2)</f>
        <v>2549.9899999999998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11227.424949494947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11227.424949494947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3" spans="1:1" x14ac:dyDescent="0.25">
      <c r="A83" s="42" t="s">
        <v>98</v>
      </c>
    </row>
    <row r="84" spans="1:1" x14ac:dyDescent="0.25">
      <c r="A84" s="37" t="s">
        <v>99</v>
      </c>
    </row>
    <row r="85" spans="1:1" x14ac:dyDescent="0.25">
      <c r="A85" s="37" t="s">
        <v>100</v>
      </c>
    </row>
    <row r="86" spans="1:1" x14ac:dyDescent="0.25">
      <c r="A86" s="37" t="s">
        <v>102</v>
      </c>
    </row>
    <row r="87" spans="1:1" x14ac:dyDescent="0.25">
      <c r="A87" s="37" t="s">
        <v>103</v>
      </c>
    </row>
    <row r="88" spans="1:1" x14ac:dyDescent="0.25">
      <c r="A88" s="37"/>
    </row>
    <row r="89" spans="1:1" x14ac:dyDescent="0.25">
      <c r="A89" s="37" t="s">
        <v>161</v>
      </c>
    </row>
    <row r="112" spans="1:5" x14ac:dyDescent="0.25">
      <c r="A112" t="s">
        <v>93</v>
      </c>
      <c r="B112" t="s">
        <v>115</v>
      </c>
      <c r="C112" s="53">
        <v>2017.5</v>
      </c>
      <c r="D112" t="s">
        <v>116</v>
      </c>
      <c r="E112" s="57">
        <f>C112*6</f>
        <v>12105</v>
      </c>
    </row>
    <row r="113" spans="1:6" x14ac:dyDescent="0.25">
      <c r="A113" s="103" t="s">
        <v>129</v>
      </c>
      <c r="B113" s="103"/>
      <c r="C113" s="103"/>
      <c r="D113" s="103"/>
      <c r="E113" s="103"/>
      <c r="F113" s="103"/>
    </row>
    <row r="128" spans="1:6" x14ac:dyDescent="0.25">
      <c r="A128" t="s">
        <v>94</v>
      </c>
    </row>
    <row r="129" spans="1:1" x14ac:dyDescent="0.25">
      <c r="A129" t="s">
        <v>95</v>
      </c>
    </row>
    <row r="148" spans="1:4" ht="141.75" customHeight="1" x14ac:dyDescent="0.25">
      <c r="A148" s="79" t="s">
        <v>118</v>
      </c>
      <c r="B148" s="80"/>
      <c r="C148" s="80"/>
      <c r="D148" s="81"/>
    </row>
    <row r="149" spans="1:4" x14ac:dyDescent="0.25">
      <c r="B149" s="47"/>
      <c r="C149" s="47"/>
      <c r="D149" s="49"/>
    </row>
    <row r="150" spans="1:4" x14ac:dyDescent="0.25">
      <c r="A150" s="48"/>
      <c r="B150" s="47"/>
      <c r="C150" s="47"/>
      <c r="D150" s="49"/>
    </row>
    <row r="151" spans="1:4" x14ac:dyDescent="0.25">
      <c r="A151" s="48"/>
      <c r="B151" s="47"/>
      <c r="C151" s="47"/>
      <c r="D151" s="49"/>
    </row>
    <row r="152" spans="1:4" x14ac:dyDescent="0.25">
      <c r="A152" s="50" t="s">
        <v>128</v>
      </c>
      <c r="B152" s="51"/>
      <c r="C152" s="51"/>
      <c r="D152" s="52"/>
    </row>
    <row r="159" spans="1:4" x14ac:dyDescent="0.25">
      <c r="A159" t="s">
        <v>106</v>
      </c>
    </row>
  </sheetData>
  <mergeCells count="22">
    <mergeCell ref="L9:M9"/>
    <mergeCell ref="N9:O9"/>
    <mergeCell ref="P9:Q9"/>
    <mergeCell ref="L10:M10"/>
    <mergeCell ref="N10:O10"/>
    <mergeCell ref="P10:Q10"/>
    <mergeCell ref="A113:F113"/>
    <mergeCell ref="A148:D148"/>
    <mergeCell ref="B54:G54"/>
    <mergeCell ref="B55:G55"/>
    <mergeCell ref="B56:G56"/>
    <mergeCell ref="B57:C57"/>
    <mergeCell ref="B58:G58"/>
    <mergeCell ref="A59:G59"/>
    <mergeCell ref="B53:G53"/>
    <mergeCell ref="A1:F1"/>
    <mergeCell ref="B50:G50"/>
    <mergeCell ref="B51:G51"/>
    <mergeCell ref="B52:G52"/>
    <mergeCell ref="E8:H8"/>
    <mergeCell ref="E15:H15"/>
    <mergeCell ref="A35:E35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67"/>
  <sheetViews>
    <sheetView workbookViewId="0">
      <selection activeCell="B13" sqref="B13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1.140625" bestFit="1" customWidth="1"/>
    <col min="5" max="5" width="23.7109375" customWidth="1"/>
    <col min="6" max="6" width="5.28515625" customWidth="1"/>
    <col min="7" max="7" width="9.140625" customWidth="1"/>
    <col min="8" max="8" width="9.85546875" customWidth="1"/>
    <col min="9" max="9" width="10.42578125" bestFit="1" customWidth="1"/>
  </cols>
  <sheetData>
    <row r="1" spans="1:17" x14ac:dyDescent="0.25">
      <c r="A1" s="93" t="s">
        <v>7</v>
      </c>
      <c r="B1" s="93"/>
      <c r="C1" s="93"/>
      <c r="D1" s="93"/>
      <c r="E1" s="93"/>
      <c r="F1" s="93"/>
    </row>
    <row r="2" spans="1:17" x14ac:dyDescent="0.25">
      <c r="A2" s="54" t="s">
        <v>131</v>
      </c>
      <c r="B2" s="65"/>
      <c r="C2" s="65"/>
      <c r="D2" s="65"/>
      <c r="E2" s="65"/>
      <c r="F2" s="65"/>
    </row>
    <row r="3" spans="1:17" x14ac:dyDescent="0.25">
      <c r="B3" s="39" t="s">
        <v>157</v>
      </c>
      <c r="C3" s="65"/>
      <c r="D3" s="65">
        <v>24</v>
      </c>
      <c r="E3" s="54"/>
      <c r="F3" s="54"/>
    </row>
    <row r="4" spans="1:17" x14ac:dyDescent="0.25">
      <c r="A4" s="54"/>
      <c r="B4" s="39" t="s">
        <v>77</v>
      </c>
      <c r="C4" s="54"/>
      <c r="D4" s="45">
        <v>40.200000000000003</v>
      </c>
      <c r="E4" s="54"/>
      <c r="F4" s="54"/>
    </row>
    <row r="5" spans="1:17" x14ac:dyDescent="0.25">
      <c r="A5" s="54"/>
      <c r="B5" s="39" t="s">
        <v>78</v>
      </c>
      <c r="C5" s="54"/>
      <c r="D5" s="54">
        <v>20</v>
      </c>
      <c r="E5" s="54"/>
      <c r="F5" s="54"/>
    </row>
    <row r="6" spans="1:17" x14ac:dyDescent="0.25">
      <c r="A6" s="9" t="s">
        <v>117</v>
      </c>
      <c r="B6" t="s">
        <v>23</v>
      </c>
      <c r="D6" s="44">
        <f>D4*D5</f>
        <v>804</v>
      </c>
    </row>
    <row r="7" spans="1:17" x14ac:dyDescent="0.25">
      <c r="B7" t="s">
        <v>111</v>
      </c>
      <c r="D7" s="44">
        <f>D6*10</f>
        <v>8040</v>
      </c>
    </row>
    <row r="8" spans="1:17" x14ac:dyDescent="0.25">
      <c r="A8" s="54" t="s">
        <v>9</v>
      </c>
      <c r="B8" s="6">
        <v>196600</v>
      </c>
      <c r="C8" s="54"/>
      <c r="D8" s="54"/>
      <c r="E8" s="104" t="s">
        <v>112</v>
      </c>
      <c r="F8" s="104"/>
      <c r="G8" s="104"/>
      <c r="H8" s="104"/>
      <c r="L8" s="101" t="s">
        <v>158</v>
      </c>
      <c r="M8" s="101"/>
      <c r="N8" s="101" t="s">
        <v>159</v>
      </c>
      <c r="O8" s="101"/>
      <c r="P8" s="101" t="s">
        <v>160</v>
      </c>
      <c r="Q8" s="101"/>
    </row>
    <row r="9" spans="1:17" x14ac:dyDescent="0.25">
      <c r="A9" s="54" t="s">
        <v>124</v>
      </c>
      <c r="B9" s="6">
        <f>B8*30%</f>
        <v>58980</v>
      </c>
      <c r="C9" s="54"/>
      <c r="D9" s="54"/>
      <c r="E9" s="39" t="s">
        <v>91</v>
      </c>
      <c r="F9" s="77"/>
      <c r="G9" s="60"/>
      <c r="H9" s="60"/>
      <c r="L9" s="102">
        <f>D4*D32</f>
        <v>1366.7422712481819</v>
      </c>
      <c r="M9" s="101"/>
      <c r="N9" s="102">
        <f>L9*24</f>
        <v>32801.814509956363</v>
      </c>
      <c r="O9" s="101"/>
      <c r="P9" s="102">
        <f>L9*200</f>
        <v>273348.45424963639</v>
      </c>
      <c r="Q9" s="101"/>
    </row>
    <row r="10" spans="1:17" x14ac:dyDescent="0.25">
      <c r="A10" s="54" t="s">
        <v>10</v>
      </c>
      <c r="B10" s="6">
        <f>B8-B9</f>
        <v>137620</v>
      </c>
      <c r="C10" s="54"/>
      <c r="D10" s="54"/>
      <c r="E10" s="77"/>
      <c r="F10" s="77"/>
      <c r="G10" s="60"/>
      <c r="H10" s="60"/>
    </row>
    <row r="11" spans="1:17" x14ac:dyDescent="0.25">
      <c r="A11" s="54" t="s">
        <v>11</v>
      </c>
      <c r="B11" s="6">
        <v>60</v>
      </c>
      <c r="C11" s="6">
        <f>B10/B11</f>
        <v>2293.6666666666665</v>
      </c>
      <c r="D11" s="54"/>
      <c r="E11" s="39" t="s">
        <v>90</v>
      </c>
      <c r="F11" s="77"/>
      <c r="G11" s="60"/>
      <c r="H11" s="60"/>
    </row>
    <row r="12" spans="1:17" x14ac:dyDescent="0.25">
      <c r="A12" s="54" t="s">
        <v>13</v>
      </c>
      <c r="B12" s="14">
        <v>0.14000000000000001</v>
      </c>
      <c r="C12" s="7">
        <f>B8*B12/12</f>
        <v>2293.666666666667</v>
      </c>
      <c r="D12" s="54"/>
      <c r="E12" s="39" t="s">
        <v>105</v>
      </c>
      <c r="F12" s="77"/>
      <c r="G12" s="60"/>
      <c r="H12" s="60"/>
    </row>
    <row r="13" spans="1:17" x14ac:dyDescent="0.25">
      <c r="E13" s="60"/>
      <c r="F13" s="60"/>
      <c r="G13" s="60"/>
      <c r="H13" s="60"/>
    </row>
    <row r="14" spans="1:17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0"/>
      <c r="F14" s="60"/>
      <c r="G14" s="60"/>
      <c r="H14" s="60"/>
    </row>
    <row r="15" spans="1:17" x14ac:dyDescent="0.25">
      <c r="A15" s="2" t="s">
        <v>2</v>
      </c>
      <c r="B15" s="2">
        <v>6.28</v>
      </c>
      <c r="C15" s="2">
        <v>4</v>
      </c>
      <c r="D15" s="3">
        <f t="shared" ref="D15:D24" si="0">B15/C15</f>
        <v>1.57</v>
      </c>
      <c r="E15" s="107" t="s">
        <v>84</v>
      </c>
      <c r="F15" s="108"/>
      <c r="G15" s="108"/>
      <c r="H15" s="108"/>
    </row>
    <row r="16" spans="1:17" x14ac:dyDescent="0.25">
      <c r="A16" s="2" t="s">
        <v>6</v>
      </c>
      <c r="B16" s="3">
        <v>500</v>
      </c>
      <c r="C16" s="2">
        <f>D6</f>
        <v>804</v>
      </c>
      <c r="D16" s="3">
        <f t="shared" si="0"/>
        <v>0.62189054726368154</v>
      </c>
      <c r="E16" s="60" t="s">
        <v>96</v>
      </c>
      <c r="F16" s="60"/>
      <c r="G16" s="60"/>
      <c r="H16" s="60"/>
    </row>
    <row r="17" spans="1:5" x14ac:dyDescent="0.25">
      <c r="A17" s="2" t="s">
        <v>20</v>
      </c>
      <c r="B17" s="3"/>
      <c r="C17" s="2">
        <f>C16*12</f>
        <v>9648</v>
      </c>
      <c r="D17" s="3">
        <f t="shared" si="0"/>
        <v>0</v>
      </c>
    </row>
    <row r="18" spans="1:5" x14ac:dyDescent="0.25">
      <c r="A18" s="2" t="s">
        <v>3</v>
      </c>
      <c r="B18" s="3">
        <v>3306.04</v>
      </c>
      <c r="C18" s="2">
        <f>C16</f>
        <v>804</v>
      </c>
      <c r="D18" s="3">
        <f t="shared" si="0"/>
        <v>4.1119900497512436</v>
      </c>
      <c r="E18" t="s">
        <v>85</v>
      </c>
    </row>
    <row r="19" spans="1:5" x14ac:dyDescent="0.25">
      <c r="A19" s="2" t="s">
        <v>114</v>
      </c>
      <c r="B19" s="3">
        <v>12105</v>
      </c>
      <c r="C19" s="2">
        <v>60000</v>
      </c>
      <c r="D19" s="3">
        <f t="shared" si="0"/>
        <v>0.20175000000000001</v>
      </c>
      <c r="E19" t="s">
        <v>92</v>
      </c>
    </row>
    <row r="20" spans="1:5" x14ac:dyDescent="0.25">
      <c r="A20" s="2" t="s">
        <v>26</v>
      </c>
      <c r="B20" s="3">
        <v>250</v>
      </c>
      <c r="C20" s="2">
        <f>C18</f>
        <v>804</v>
      </c>
      <c r="D20" s="3">
        <f t="shared" si="0"/>
        <v>0.31094527363184077</v>
      </c>
      <c r="E20" t="s">
        <v>97</v>
      </c>
    </row>
    <row r="21" spans="1:5" x14ac:dyDescent="0.25">
      <c r="A21" s="2" t="s">
        <v>107</v>
      </c>
      <c r="B21" s="3">
        <v>63.4</v>
      </c>
      <c r="C21" s="2">
        <f>C20</f>
        <v>804</v>
      </c>
      <c r="D21" s="3">
        <f>B21/C21</f>
        <v>7.8855721393034831E-2</v>
      </c>
      <c r="E21" t="s">
        <v>108</v>
      </c>
    </row>
    <row r="22" spans="1:5" x14ac:dyDescent="0.25">
      <c r="A22" s="2" t="s">
        <v>4</v>
      </c>
      <c r="B22" s="3">
        <f>I62</f>
        <v>11227.424949494947</v>
      </c>
      <c r="C22" s="2">
        <f>C18</f>
        <v>804</v>
      </c>
      <c r="D22" s="3">
        <f t="shared" si="0"/>
        <v>13.96445889240665</v>
      </c>
      <c r="E22" t="s">
        <v>86</v>
      </c>
    </row>
    <row r="23" spans="1:5" x14ac:dyDescent="0.25">
      <c r="A23" s="2" t="s">
        <v>12</v>
      </c>
      <c r="B23" s="3">
        <f>C11</f>
        <v>2293.6666666666665</v>
      </c>
      <c r="C23" s="2">
        <f>C22</f>
        <v>804</v>
      </c>
      <c r="D23" s="3">
        <f t="shared" si="0"/>
        <v>2.8528192371475951</v>
      </c>
      <c r="E23" t="s">
        <v>89</v>
      </c>
    </row>
    <row r="24" spans="1:5" x14ac:dyDescent="0.25">
      <c r="A24" s="2" t="s">
        <v>14</v>
      </c>
      <c r="B24" s="8">
        <f>C12</f>
        <v>2293.666666666667</v>
      </c>
      <c r="C24" s="2">
        <f>C23</f>
        <v>804</v>
      </c>
      <c r="D24" s="3">
        <f t="shared" si="0"/>
        <v>2.8528192371475956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26.565528958741645</v>
      </c>
    </row>
    <row r="27" spans="1:5" x14ac:dyDescent="0.25">
      <c r="A27" s="2" t="s">
        <v>17</v>
      </c>
      <c r="B27" s="2"/>
      <c r="C27" s="10">
        <v>0.1</v>
      </c>
      <c r="D27" s="8">
        <f>D25*C27</f>
        <v>2.6565528958741647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2.6565528958741647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31.878634750489972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2.1199292109075834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33.998563961397558</v>
      </c>
    </row>
    <row r="33" spans="1:9" x14ac:dyDescent="0.25">
      <c r="A33" s="15" t="s">
        <v>27</v>
      </c>
      <c r="B33" s="2"/>
      <c r="C33" s="2">
        <f>D6</f>
        <v>804</v>
      </c>
      <c r="D33" s="8">
        <f>D32*C33</f>
        <v>27334.845424963638</v>
      </c>
    </row>
    <row r="35" spans="1:9" ht="50.25" customHeight="1" x14ac:dyDescent="0.25">
      <c r="A35" s="100" t="s">
        <v>152</v>
      </c>
      <c r="B35" s="100"/>
      <c r="C35" s="100"/>
      <c r="D35" s="100"/>
      <c r="E35" s="100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3767.43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3424.9363636363632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684.98727272727274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4109.9236363636355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-205.49618181818178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4794.9094545454536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399.57578787878782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133.19192929292927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5327.6771717171705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6929.3471313131304</v>
      </c>
    </row>
    <row r="50" spans="1:9" ht="30" x14ac:dyDescent="0.25">
      <c r="A50" s="17" t="s">
        <v>29</v>
      </c>
      <c r="B50" s="94" t="s">
        <v>30</v>
      </c>
      <c r="C50" s="95"/>
      <c r="D50" s="95"/>
      <c r="E50" s="95"/>
      <c r="F50" s="95"/>
      <c r="G50" s="96"/>
      <c r="H50" s="18" t="s">
        <v>31</v>
      </c>
      <c r="I50" s="18" t="s">
        <v>32</v>
      </c>
    </row>
    <row r="51" spans="1:9" x14ac:dyDescent="0.25">
      <c r="A51" s="19" t="s">
        <v>33</v>
      </c>
      <c r="B51" s="82" t="s">
        <v>34</v>
      </c>
      <c r="C51" s="83"/>
      <c r="D51" s="83"/>
      <c r="E51" s="83"/>
      <c r="F51" s="83"/>
      <c r="G51" s="84"/>
      <c r="H51" s="20">
        <v>0.2</v>
      </c>
      <c r="I51" s="21">
        <f>$I$48*H51</f>
        <v>1385.8694262626261</v>
      </c>
    </row>
    <row r="52" spans="1:9" x14ac:dyDescent="0.25">
      <c r="A52" s="19" t="s">
        <v>35</v>
      </c>
      <c r="B52" s="82" t="s">
        <v>36</v>
      </c>
      <c r="C52" s="83"/>
      <c r="D52" s="83"/>
      <c r="E52" s="83"/>
      <c r="F52" s="83"/>
      <c r="G52" s="84"/>
      <c r="H52" s="20">
        <v>1.4999999999999999E-2</v>
      </c>
      <c r="I52" s="21">
        <f t="shared" ref="I52:I58" si="1">$I$48*H52</f>
        <v>103.94020696969694</v>
      </c>
    </row>
    <row r="53" spans="1:9" x14ac:dyDescent="0.25">
      <c r="A53" s="19" t="s">
        <v>37</v>
      </c>
      <c r="B53" s="82" t="s">
        <v>38</v>
      </c>
      <c r="C53" s="83"/>
      <c r="D53" s="83"/>
      <c r="E53" s="83"/>
      <c r="F53" s="83"/>
      <c r="G53" s="84"/>
      <c r="H53" s="20">
        <v>0.01</v>
      </c>
      <c r="I53" s="21">
        <f t="shared" si="1"/>
        <v>69.293471313131306</v>
      </c>
    </row>
    <row r="54" spans="1:9" x14ac:dyDescent="0.25">
      <c r="A54" s="19" t="s">
        <v>39</v>
      </c>
      <c r="B54" s="82" t="s">
        <v>40</v>
      </c>
      <c r="C54" s="83"/>
      <c r="D54" s="83"/>
      <c r="E54" s="83"/>
      <c r="F54" s="83"/>
      <c r="G54" s="84"/>
      <c r="H54" s="20">
        <v>2E-3</v>
      </c>
      <c r="I54" s="21">
        <f t="shared" si="1"/>
        <v>13.858694262626262</v>
      </c>
    </row>
    <row r="55" spans="1:9" x14ac:dyDescent="0.25">
      <c r="A55" s="19" t="s">
        <v>41</v>
      </c>
      <c r="B55" s="85" t="s">
        <v>42</v>
      </c>
      <c r="C55" s="86"/>
      <c r="D55" s="86"/>
      <c r="E55" s="86"/>
      <c r="F55" s="86"/>
      <c r="G55" s="87"/>
      <c r="H55" s="20">
        <v>2.5000000000000001E-2</v>
      </c>
      <c r="I55" s="21">
        <f t="shared" si="1"/>
        <v>173.23367828282827</v>
      </c>
    </row>
    <row r="56" spans="1:9" x14ac:dyDescent="0.25">
      <c r="A56" s="19" t="s">
        <v>43</v>
      </c>
      <c r="B56" s="85" t="s">
        <v>44</v>
      </c>
      <c r="C56" s="86"/>
      <c r="D56" s="86"/>
      <c r="E56" s="86"/>
      <c r="F56" s="86"/>
      <c r="G56" s="87"/>
      <c r="H56" s="22">
        <v>0.08</v>
      </c>
      <c r="I56" s="21">
        <f t="shared" si="1"/>
        <v>554.34777050505045</v>
      </c>
    </row>
    <row r="57" spans="1:9" ht="25.5" x14ac:dyDescent="0.25">
      <c r="A57" s="19" t="s">
        <v>45</v>
      </c>
      <c r="B57" s="88" t="s">
        <v>46</v>
      </c>
      <c r="C57" s="8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207.88041393939389</v>
      </c>
    </row>
    <row r="58" spans="1:9" x14ac:dyDescent="0.25">
      <c r="A58" s="19" t="s">
        <v>49</v>
      </c>
      <c r="B58" s="85" t="s">
        <v>50</v>
      </c>
      <c r="C58" s="86"/>
      <c r="D58" s="86"/>
      <c r="E58" s="86"/>
      <c r="F58" s="86"/>
      <c r="G58" s="87"/>
      <c r="H58" s="20">
        <v>6.0000000000000001E-3</v>
      </c>
      <c r="I58" s="21">
        <f t="shared" si="1"/>
        <v>41.576082787878782</v>
      </c>
    </row>
    <row r="59" spans="1:9" x14ac:dyDescent="0.25">
      <c r="A59" s="90" t="s">
        <v>51</v>
      </c>
      <c r="B59" s="91"/>
      <c r="C59" s="91"/>
      <c r="D59" s="91"/>
      <c r="E59" s="91"/>
      <c r="F59" s="91"/>
      <c r="G59" s="92"/>
      <c r="H59" s="27">
        <f>SUM(H51:H58)</f>
        <v>0.3680000000000001</v>
      </c>
      <c r="I59" s="28">
        <f>TRUNC(SUM(I51:I58),2)</f>
        <v>2549.9899999999998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11227.424949494947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11227.424949494947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3" spans="1:1" x14ac:dyDescent="0.25">
      <c r="A83" s="42" t="s">
        <v>98</v>
      </c>
    </row>
    <row r="84" spans="1:1" x14ac:dyDescent="0.25">
      <c r="A84" s="37" t="s">
        <v>99</v>
      </c>
    </row>
    <row r="85" spans="1:1" x14ac:dyDescent="0.25">
      <c r="A85" s="37" t="s">
        <v>100</v>
      </c>
    </row>
    <row r="86" spans="1:1" x14ac:dyDescent="0.25">
      <c r="A86" s="37" t="s">
        <v>102</v>
      </c>
    </row>
    <row r="87" spans="1:1" x14ac:dyDescent="0.25">
      <c r="A87" s="37" t="s">
        <v>103</v>
      </c>
    </row>
    <row r="88" spans="1:1" x14ac:dyDescent="0.25">
      <c r="A88" s="37"/>
    </row>
    <row r="89" spans="1:1" x14ac:dyDescent="0.25">
      <c r="A89" s="37" t="s">
        <v>161</v>
      </c>
    </row>
    <row r="112" spans="1:5" x14ac:dyDescent="0.25">
      <c r="A112" t="s">
        <v>93</v>
      </c>
      <c r="B112" t="s">
        <v>115</v>
      </c>
      <c r="C112" s="53">
        <v>2017.5</v>
      </c>
      <c r="D112" t="s">
        <v>116</v>
      </c>
      <c r="E112" s="57">
        <f>C112*6</f>
        <v>12105</v>
      </c>
    </row>
    <row r="113" spans="1:6" x14ac:dyDescent="0.25">
      <c r="A113" s="103" t="s">
        <v>129</v>
      </c>
      <c r="B113" s="103"/>
      <c r="C113" s="103"/>
      <c r="D113" s="103"/>
      <c r="E113" s="103"/>
      <c r="F113" s="103"/>
    </row>
    <row r="128" spans="1:6" x14ac:dyDescent="0.25">
      <c r="A128" t="s">
        <v>94</v>
      </c>
    </row>
    <row r="129" spans="1:1" x14ac:dyDescent="0.25">
      <c r="A129" t="s">
        <v>95</v>
      </c>
    </row>
    <row r="148" spans="1:4" ht="141.75" customHeight="1" x14ac:dyDescent="0.25">
      <c r="A148" s="79" t="s">
        <v>118</v>
      </c>
      <c r="B148" s="80"/>
      <c r="C148" s="80"/>
      <c r="D148" s="81"/>
    </row>
    <row r="149" spans="1:4" x14ac:dyDescent="0.25">
      <c r="B149" s="47"/>
      <c r="C149" s="47"/>
      <c r="D149" s="49"/>
    </row>
    <row r="150" spans="1:4" x14ac:dyDescent="0.25">
      <c r="A150" s="48"/>
      <c r="B150" s="47"/>
      <c r="C150" s="47"/>
      <c r="D150" s="49"/>
    </row>
    <row r="151" spans="1:4" x14ac:dyDescent="0.25">
      <c r="A151" s="48"/>
      <c r="B151" s="47"/>
      <c r="C151" s="47"/>
      <c r="D151" s="49"/>
    </row>
    <row r="152" spans="1:4" x14ac:dyDescent="0.25">
      <c r="A152" s="50" t="s">
        <v>128</v>
      </c>
      <c r="B152" s="51"/>
      <c r="C152" s="51"/>
      <c r="D152" s="52"/>
    </row>
    <row r="167" spans="1:1" x14ac:dyDescent="0.25">
      <c r="A167" t="s">
        <v>106</v>
      </c>
    </row>
  </sheetData>
  <mergeCells count="22">
    <mergeCell ref="L8:M8"/>
    <mergeCell ref="N8:O8"/>
    <mergeCell ref="P8:Q8"/>
    <mergeCell ref="L9:M9"/>
    <mergeCell ref="N9:O9"/>
    <mergeCell ref="P9:Q9"/>
    <mergeCell ref="A113:F113"/>
    <mergeCell ref="A148:D148"/>
    <mergeCell ref="B54:G54"/>
    <mergeCell ref="B55:G55"/>
    <mergeCell ref="B56:G56"/>
    <mergeCell ref="B57:C57"/>
    <mergeCell ref="B58:G58"/>
    <mergeCell ref="A59:G59"/>
    <mergeCell ref="B53:G53"/>
    <mergeCell ref="A1:F1"/>
    <mergeCell ref="B50:G50"/>
    <mergeCell ref="B51:G51"/>
    <mergeCell ref="B52:G52"/>
    <mergeCell ref="E8:H8"/>
    <mergeCell ref="E15:H15"/>
    <mergeCell ref="A35:E35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72"/>
  <sheetViews>
    <sheetView tabSelected="1" workbookViewId="0">
      <selection activeCell="D5" sqref="D5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6" x14ac:dyDescent="0.25">
      <c r="A1" s="93" t="s">
        <v>7</v>
      </c>
      <c r="B1" s="93"/>
      <c r="C1" s="93"/>
      <c r="D1" s="93"/>
      <c r="E1" s="93"/>
      <c r="F1" s="93"/>
    </row>
    <row r="2" spans="1:16" x14ac:dyDescent="0.25">
      <c r="A2" s="62" t="s">
        <v>132</v>
      </c>
      <c r="B2" s="65"/>
      <c r="C2" s="65"/>
      <c r="D2" s="65"/>
      <c r="E2" s="65"/>
      <c r="F2" s="65"/>
    </row>
    <row r="3" spans="1:16" x14ac:dyDescent="0.25">
      <c r="B3" s="39" t="s">
        <v>157</v>
      </c>
      <c r="C3" s="65"/>
      <c r="D3" s="65">
        <v>24</v>
      </c>
      <c r="E3" s="62"/>
      <c r="F3" s="62"/>
    </row>
    <row r="4" spans="1:16" x14ac:dyDescent="0.25">
      <c r="A4" s="62"/>
      <c r="B4" s="39" t="s">
        <v>77</v>
      </c>
      <c r="C4" s="62"/>
      <c r="D4" s="62">
        <v>63.4</v>
      </c>
      <c r="E4" s="62"/>
      <c r="F4" s="62"/>
    </row>
    <row r="5" spans="1:16" x14ac:dyDescent="0.25">
      <c r="A5" s="62"/>
      <c r="B5" s="39" t="s">
        <v>78</v>
      </c>
      <c r="C5" s="62"/>
      <c r="D5" s="62">
        <v>20</v>
      </c>
      <c r="E5" s="62"/>
      <c r="F5" s="62"/>
    </row>
    <row r="6" spans="1:16" x14ac:dyDescent="0.25">
      <c r="A6" s="9" t="s">
        <v>148</v>
      </c>
      <c r="B6" t="s">
        <v>23</v>
      </c>
      <c r="D6">
        <f>D4*D5</f>
        <v>1268</v>
      </c>
    </row>
    <row r="7" spans="1:16" x14ac:dyDescent="0.25">
      <c r="B7" t="s">
        <v>110</v>
      </c>
      <c r="D7">
        <f>D6*10</f>
        <v>12680</v>
      </c>
    </row>
    <row r="8" spans="1:16" ht="30" customHeight="1" x14ac:dyDescent="0.25">
      <c r="A8" s="62" t="s">
        <v>9</v>
      </c>
      <c r="B8" s="6">
        <v>153966</v>
      </c>
      <c r="C8" s="62"/>
      <c r="D8" s="62"/>
      <c r="E8" s="43" t="s">
        <v>104</v>
      </c>
      <c r="F8" s="62"/>
    </row>
    <row r="9" spans="1:16" x14ac:dyDescent="0.25">
      <c r="A9" s="62" t="s">
        <v>124</v>
      </c>
      <c r="B9" s="6">
        <f>B8*30%</f>
        <v>46189.799999999996</v>
      </c>
      <c r="C9" s="62"/>
      <c r="D9" s="62"/>
      <c r="E9" s="39" t="s">
        <v>91</v>
      </c>
      <c r="F9" s="62"/>
    </row>
    <row r="10" spans="1:16" x14ac:dyDescent="0.25">
      <c r="A10" s="62" t="s">
        <v>10</v>
      </c>
      <c r="B10" s="6">
        <f>B8-B9</f>
        <v>107776.20000000001</v>
      </c>
      <c r="C10" s="62"/>
      <c r="D10" s="62"/>
      <c r="E10" s="62"/>
      <c r="F10" s="62"/>
      <c r="K10" s="109"/>
      <c r="L10" s="109"/>
      <c r="M10" s="109"/>
      <c r="N10" s="109"/>
      <c r="O10" s="109"/>
      <c r="P10" s="109"/>
    </row>
    <row r="11" spans="1:16" x14ac:dyDescent="0.25">
      <c r="A11" s="62" t="s">
        <v>11</v>
      </c>
      <c r="B11" s="6">
        <v>60</v>
      </c>
      <c r="C11" s="6">
        <f>B10/B11</f>
        <v>1796.2700000000002</v>
      </c>
      <c r="D11" s="62"/>
      <c r="E11" s="39" t="s">
        <v>90</v>
      </c>
      <c r="F11" s="62"/>
      <c r="K11" s="110"/>
      <c r="L11" s="109"/>
      <c r="M11" s="110"/>
      <c r="N11" s="109"/>
      <c r="O11" s="110"/>
      <c r="P11" s="109"/>
    </row>
    <row r="12" spans="1:16" x14ac:dyDescent="0.25">
      <c r="A12" s="62" t="s">
        <v>13</v>
      </c>
      <c r="B12" s="14">
        <v>0.14000000000000001</v>
      </c>
      <c r="C12" s="7">
        <f>B8*B12/12</f>
        <v>1796.2700000000002</v>
      </c>
      <c r="D12" s="62"/>
      <c r="E12" s="39" t="s">
        <v>105</v>
      </c>
      <c r="F12" s="62"/>
    </row>
    <row r="14" spans="1:16" x14ac:dyDescent="0.25">
      <c r="A14" s="1" t="s">
        <v>0</v>
      </c>
      <c r="B14" s="1" t="s">
        <v>8</v>
      </c>
      <c r="C14" s="1" t="s">
        <v>21</v>
      </c>
      <c r="D14" s="1" t="s">
        <v>1</v>
      </c>
    </row>
    <row r="15" spans="1:16" x14ac:dyDescent="0.25">
      <c r="A15" s="2" t="s">
        <v>2</v>
      </c>
      <c r="B15" s="2">
        <v>6.28</v>
      </c>
      <c r="C15" s="2">
        <v>7</v>
      </c>
      <c r="D15" s="3">
        <f t="shared" ref="D15:D24" si="0">B15/C15</f>
        <v>0.89714285714285713</v>
      </c>
      <c r="E15" s="61" t="s">
        <v>84</v>
      </c>
    </row>
    <row r="16" spans="1:16" x14ac:dyDescent="0.25">
      <c r="A16" s="2" t="s">
        <v>6</v>
      </c>
      <c r="B16" s="3">
        <v>500</v>
      </c>
      <c r="C16" s="2">
        <f>D6</f>
        <v>1268</v>
      </c>
      <c r="D16" s="3">
        <f t="shared" si="0"/>
        <v>0.39432176656151419</v>
      </c>
      <c r="E16" s="61" t="s">
        <v>96</v>
      </c>
    </row>
    <row r="17" spans="1:5" x14ac:dyDescent="0.25">
      <c r="A17" s="2" t="s">
        <v>20</v>
      </c>
      <c r="B17" s="3"/>
      <c r="C17" s="2">
        <f>C16*12</f>
        <v>15216</v>
      </c>
      <c r="D17" s="3">
        <f t="shared" si="0"/>
        <v>0</v>
      </c>
    </row>
    <row r="18" spans="1:5" x14ac:dyDescent="0.25">
      <c r="A18" s="2" t="s">
        <v>3</v>
      </c>
      <c r="B18" s="3">
        <v>700</v>
      </c>
      <c r="C18" s="2">
        <f>C16</f>
        <v>1268</v>
      </c>
      <c r="D18" s="3">
        <f t="shared" si="0"/>
        <v>0.55205047318611988</v>
      </c>
      <c r="E18" t="s">
        <v>85</v>
      </c>
    </row>
    <row r="19" spans="1:5" x14ac:dyDescent="0.25">
      <c r="A19" s="2" t="s">
        <v>28</v>
      </c>
      <c r="B19" s="3">
        <v>3511.88</v>
      </c>
      <c r="C19" s="2">
        <v>40000</v>
      </c>
      <c r="D19" s="3">
        <f t="shared" si="0"/>
        <v>8.7797E-2</v>
      </c>
      <c r="E19" t="s">
        <v>92</v>
      </c>
    </row>
    <row r="20" spans="1:5" x14ac:dyDescent="0.25">
      <c r="A20" s="2" t="s">
        <v>109</v>
      </c>
      <c r="B20" s="3">
        <v>63.4</v>
      </c>
      <c r="C20" s="2">
        <f>C21</f>
        <v>1268</v>
      </c>
      <c r="D20" s="3">
        <f>B20/C20</f>
        <v>4.9999999999999996E-2</v>
      </c>
      <c r="E20" t="s">
        <v>108</v>
      </c>
    </row>
    <row r="21" spans="1:5" x14ac:dyDescent="0.25">
      <c r="A21" s="2" t="s">
        <v>26</v>
      </c>
      <c r="B21" s="3">
        <v>250</v>
      </c>
      <c r="C21" s="2">
        <f>C18</f>
        <v>1268</v>
      </c>
      <c r="D21" s="3">
        <f t="shared" si="0"/>
        <v>0.19716088328075709</v>
      </c>
      <c r="E21" t="s">
        <v>97</v>
      </c>
    </row>
    <row r="22" spans="1:5" x14ac:dyDescent="0.25">
      <c r="A22" s="2" t="s">
        <v>4</v>
      </c>
      <c r="B22" s="3">
        <f>I62</f>
        <v>9122.6464646464647</v>
      </c>
      <c r="C22" s="2">
        <f>C18</f>
        <v>1268</v>
      </c>
      <c r="D22" s="3">
        <f t="shared" si="0"/>
        <v>7.1945161393110917</v>
      </c>
      <c r="E22" t="s">
        <v>86</v>
      </c>
    </row>
    <row r="23" spans="1:5" x14ac:dyDescent="0.25">
      <c r="A23" s="2" t="s">
        <v>12</v>
      </c>
      <c r="B23" s="3">
        <f>C11</f>
        <v>1796.2700000000002</v>
      </c>
      <c r="C23" s="2">
        <f>C22</f>
        <v>1268</v>
      </c>
      <c r="D23" s="3">
        <f t="shared" si="0"/>
        <v>1.4166167192429024</v>
      </c>
      <c r="E23" t="s">
        <v>89</v>
      </c>
    </row>
    <row r="24" spans="1:5" x14ac:dyDescent="0.25">
      <c r="A24" s="2" t="s">
        <v>14</v>
      </c>
      <c r="B24" s="8">
        <f>C12</f>
        <v>1796.2700000000002</v>
      </c>
      <c r="C24" s="2">
        <f>C23</f>
        <v>1268</v>
      </c>
      <c r="D24" s="3">
        <f t="shared" si="0"/>
        <v>1.4166167192429024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12.206222557968147</v>
      </c>
    </row>
    <row r="27" spans="1:5" x14ac:dyDescent="0.25">
      <c r="A27" s="2" t="s">
        <v>17</v>
      </c>
      <c r="B27" s="2"/>
      <c r="C27" s="10">
        <v>0.1</v>
      </c>
      <c r="D27" s="8">
        <f>D25*C27</f>
        <v>1.2206222557968147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1.2206222557968147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14.647467069561776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0.97405656012585817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15.621523629687633</v>
      </c>
    </row>
    <row r="33" spans="1:9" x14ac:dyDescent="0.25">
      <c r="A33" s="15" t="s">
        <v>27</v>
      </c>
      <c r="B33" s="2"/>
      <c r="C33" s="2">
        <f>D6</f>
        <v>1268</v>
      </c>
      <c r="D33" s="8">
        <f>D32*C33</f>
        <v>19808.091962443919</v>
      </c>
    </row>
    <row r="35" spans="1:9" ht="50.25" customHeight="1" x14ac:dyDescent="0.25">
      <c r="A35" s="100" t="s">
        <v>152</v>
      </c>
      <c r="B35" s="100"/>
      <c r="C35" s="100"/>
      <c r="D35" s="100"/>
      <c r="E35" s="100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94" t="s">
        <v>30</v>
      </c>
      <c r="C50" s="95"/>
      <c r="D50" s="95"/>
      <c r="E50" s="95"/>
      <c r="F50" s="95"/>
      <c r="G50" s="96"/>
      <c r="H50" s="18" t="s">
        <v>31</v>
      </c>
      <c r="I50" s="18" t="s">
        <v>32</v>
      </c>
    </row>
    <row r="51" spans="1:9" x14ac:dyDescent="0.25">
      <c r="A51" s="19" t="s">
        <v>33</v>
      </c>
      <c r="B51" s="82" t="s">
        <v>34</v>
      </c>
      <c r="C51" s="83"/>
      <c r="D51" s="83"/>
      <c r="E51" s="83"/>
      <c r="F51" s="83"/>
      <c r="G51" s="84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2" t="s">
        <v>36</v>
      </c>
      <c r="C52" s="83"/>
      <c r="D52" s="83"/>
      <c r="E52" s="83"/>
      <c r="F52" s="83"/>
      <c r="G52" s="84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2" t="s">
        <v>38</v>
      </c>
      <c r="C53" s="83"/>
      <c r="D53" s="83"/>
      <c r="E53" s="83"/>
      <c r="F53" s="83"/>
      <c r="G53" s="84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2" t="s">
        <v>40</v>
      </c>
      <c r="C54" s="83"/>
      <c r="D54" s="83"/>
      <c r="E54" s="83"/>
      <c r="F54" s="83"/>
      <c r="G54" s="84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85" t="s">
        <v>42</v>
      </c>
      <c r="C55" s="86"/>
      <c r="D55" s="86"/>
      <c r="E55" s="86"/>
      <c r="F55" s="86"/>
      <c r="G55" s="8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85" t="s">
        <v>44</v>
      </c>
      <c r="C56" s="86"/>
      <c r="D56" s="86"/>
      <c r="E56" s="86"/>
      <c r="F56" s="86"/>
      <c r="G56" s="8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88" t="s">
        <v>46</v>
      </c>
      <c r="C57" s="8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85" t="s">
        <v>50</v>
      </c>
      <c r="C58" s="86"/>
      <c r="D58" s="86"/>
      <c r="E58" s="86"/>
      <c r="F58" s="86"/>
      <c r="G58" s="87"/>
      <c r="H58" s="20">
        <v>6.0000000000000001E-3</v>
      </c>
      <c r="I58" s="21">
        <f t="shared" si="1"/>
        <v>32.028931151515152</v>
      </c>
    </row>
    <row r="59" spans="1:9" x14ac:dyDescent="0.25">
      <c r="A59" s="90" t="s">
        <v>51</v>
      </c>
      <c r="B59" s="91"/>
      <c r="C59" s="91"/>
      <c r="D59" s="91"/>
      <c r="E59" s="91"/>
      <c r="F59" s="91"/>
      <c r="G59" s="9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4" spans="1:5" x14ac:dyDescent="0.25">
      <c r="A114" t="s">
        <v>93</v>
      </c>
      <c r="B114" t="s">
        <v>133</v>
      </c>
      <c r="E114">
        <f>877.97*4</f>
        <v>3511.88</v>
      </c>
    </row>
    <row r="130" spans="1:1" x14ac:dyDescent="0.25">
      <c r="A130" t="s">
        <v>94</v>
      </c>
    </row>
    <row r="131" spans="1:1" x14ac:dyDescent="0.25">
      <c r="A131" t="s">
        <v>95</v>
      </c>
    </row>
    <row r="149" spans="1:4" ht="78" customHeight="1" x14ac:dyDescent="0.25">
      <c r="A149" s="79" t="s">
        <v>113</v>
      </c>
      <c r="B149" s="80"/>
      <c r="C149" s="80"/>
      <c r="D149" s="81"/>
    </row>
    <row r="150" spans="1:4" x14ac:dyDescent="0.25">
      <c r="A150" s="46"/>
      <c r="B150" s="47"/>
      <c r="C150" s="47"/>
      <c r="D150" s="49"/>
    </row>
    <row r="151" spans="1:4" x14ac:dyDescent="0.25">
      <c r="A151" s="46"/>
      <c r="B151" s="47"/>
      <c r="C151" s="47"/>
      <c r="D151" s="49"/>
    </row>
    <row r="152" spans="1:4" x14ac:dyDescent="0.25">
      <c r="A152" s="46"/>
      <c r="B152" s="47"/>
      <c r="C152" s="47"/>
      <c r="D152" s="49"/>
    </row>
    <row r="153" spans="1:4" x14ac:dyDescent="0.25">
      <c r="A153" s="50" t="s">
        <v>140</v>
      </c>
      <c r="B153" s="51"/>
      <c r="C153" s="51"/>
      <c r="D153" s="52"/>
    </row>
    <row r="172" spans="1:1" x14ac:dyDescent="0.25">
      <c r="A172" t="s">
        <v>106</v>
      </c>
    </row>
  </sheetData>
  <mergeCells count="19">
    <mergeCell ref="K10:L10"/>
    <mergeCell ref="M10:N10"/>
    <mergeCell ref="O10:P10"/>
    <mergeCell ref="K11:L11"/>
    <mergeCell ref="M11:N11"/>
    <mergeCell ref="O11:P11"/>
    <mergeCell ref="A149:D149"/>
    <mergeCell ref="B54:G54"/>
    <mergeCell ref="B55:G55"/>
    <mergeCell ref="B56:G56"/>
    <mergeCell ref="B57:C57"/>
    <mergeCell ref="B58:G58"/>
    <mergeCell ref="A59:G59"/>
    <mergeCell ref="B53:G53"/>
    <mergeCell ref="A35:E35"/>
    <mergeCell ref="A1:F1"/>
    <mergeCell ref="B50:G50"/>
    <mergeCell ref="B51:G51"/>
    <mergeCell ref="B52:G52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58"/>
  <sheetViews>
    <sheetView workbookViewId="0">
      <selection activeCell="B13" sqref="B13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6" x14ac:dyDescent="0.25">
      <c r="A1" s="93" t="s">
        <v>7</v>
      </c>
      <c r="B1" s="93"/>
      <c r="C1" s="93"/>
      <c r="D1" s="93"/>
      <c r="E1" s="93"/>
      <c r="F1" s="93"/>
    </row>
    <row r="2" spans="1:16" x14ac:dyDescent="0.25">
      <c r="A2" s="55" t="s">
        <v>139</v>
      </c>
      <c r="B2" s="65"/>
      <c r="C2" s="65"/>
      <c r="D2" s="65"/>
      <c r="E2" s="65"/>
      <c r="F2" s="65"/>
    </row>
    <row r="3" spans="1:16" x14ac:dyDescent="0.25">
      <c r="B3" s="39" t="s">
        <v>157</v>
      </c>
      <c r="C3" s="55"/>
      <c r="D3" s="55">
        <v>24</v>
      </c>
      <c r="E3" s="55"/>
      <c r="F3" s="55"/>
    </row>
    <row r="4" spans="1:16" x14ac:dyDescent="0.25">
      <c r="A4" s="55"/>
      <c r="B4" s="39" t="s">
        <v>77</v>
      </c>
      <c r="C4" s="55"/>
      <c r="D4" s="55">
        <v>100.8</v>
      </c>
      <c r="E4" s="55"/>
      <c r="F4" s="55"/>
    </row>
    <row r="5" spans="1:16" x14ac:dyDescent="0.25">
      <c r="A5" s="55"/>
      <c r="B5" s="39" t="s">
        <v>78</v>
      </c>
      <c r="C5" s="55"/>
      <c r="D5" s="55">
        <v>20</v>
      </c>
      <c r="E5" s="55"/>
      <c r="F5" s="55"/>
    </row>
    <row r="6" spans="1:16" x14ac:dyDescent="0.25">
      <c r="A6" s="9" t="s">
        <v>119</v>
      </c>
      <c r="B6" t="s">
        <v>23</v>
      </c>
      <c r="D6">
        <f>D4*D5</f>
        <v>2016</v>
      </c>
    </row>
    <row r="7" spans="1:16" x14ac:dyDescent="0.25">
      <c r="B7" t="s">
        <v>110</v>
      </c>
      <c r="D7">
        <f>D6*10</f>
        <v>20160</v>
      </c>
    </row>
    <row r="8" spans="1:16" x14ac:dyDescent="0.25">
      <c r="A8" s="55" t="s">
        <v>9</v>
      </c>
      <c r="B8" s="6">
        <v>222663</v>
      </c>
      <c r="C8" s="55"/>
      <c r="D8" s="55"/>
      <c r="E8" s="104" t="s">
        <v>104</v>
      </c>
      <c r="F8" s="104"/>
      <c r="G8" s="104"/>
    </row>
    <row r="9" spans="1:16" x14ac:dyDescent="0.25">
      <c r="A9" s="55" t="s">
        <v>124</v>
      </c>
      <c r="B9" s="6">
        <f>B8*30%</f>
        <v>66798.899999999994</v>
      </c>
      <c r="C9" s="55"/>
      <c r="D9" s="55"/>
      <c r="E9" s="39" t="s">
        <v>91</v>
      </c>
      <c r="F9" s="77"/>
      <c r="G9" s="60"/>
    </row>
    <row r="10" spans="1:16" x14ac:dyDescent="0.25">
      <c r="A10" s="55" t="s">
        <v>10</v>
      </c>
      <c r="B10" s="6">
        <f>B8-B9</f>
        <v>155864.1</v>
      </c>
      <c r="C10" s="55"/>
      <c r="D10" s="55"/>
      <c r="E10" s="77"/>
      <c r="F10" s="77"/>
      <c r="G10" s="60"/>
      <c r="K10" s="101" t="s">
        <v>158</v>
      </c>
      <c r="L10" s="101"/>
      <c r="M10" s="101" t="s">
        <v>159</v>
      </c>
      <c r="N10" s="101"/>
      <c r="O10" s="101" t="s">
        <v>160</v>
      </c>
      <c r="P10" s="101"/>
    </row>
    <row r="11" spans="1:16" x14ac:dyDescent="0.25">
      <c r="A11" s="55" t="s">
        <v>11</v>
      </c>
      <c r="B11" s="6">
        <v>60</v>
      </c>
      <c r="C11" s="6">
        <f>B10/B11</f>
        <v>2597.7350000000001</v>
      </c>
      <c r="D11" s="55"/>
      <c r="E11" s="39" t="s">
        <v>90</v>
      </c>
      <c r="F11" s="77"/>
      <c r="G11" s="60"/>
      <c r="K11" s="102">
        <f>D4*D32</f>
        <v>1225.0765496127274</v>
      </c>
      <c r="L11" s="101"/>
      <c r="M11" s="102">
        <f>K11*24</f>
        <v>29401.837190705457</v>
      </c>
      <c r="N11" s="101"/>
      <c r="O11" s="102">
        <f>K11*200</f>
        <v>245015.30992254548</v>
      </c>
      <c r="P11" s="101"/>
    </row>
    <row r="12" spans="1:16" x14ac:dyDescent="0.25">
      <c r="A12" s="55" t="s">
        <v>13</v>
      </c>
      <c r="B12" s="14">
        <v>0.14000000000000001</v>
      </c>
      <c r="C12" s="7">
        <f>B8*B12/12</f>
        <v>2597.7350000000001</v>
      </c>
      <c r="D12" s="55"/>
      <c r="E12" s="39" t="s">
        <v>105</v>
      </c>
      <c r="F12" s="77"/>
      <c r="G12" s="60"/>
    </row>
    <row r="13" spans="1:16" x14ac:dyDescent="0.25">
      <c r="E13" s="60"/>
      <c r="F13" s="60"/>
      <c r="G13" s="60"/>
    </row>
    <row r="14" spans="1:16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0"/>
      <c r="F14" s="60"/>
      <c r="G14" s="60"/>
    </row>
    <row r="15" spans="1:16" x14ac:dyDescent="0.25">
      <c r="A15" s="2" t="s">
        <v>2</v>
      </c>
      <c r="B15" s="2">
        <v>6.28</v>
      </c>
      <c r="C15" s="2">
        <v>4</v>
      </c>
      <c r="D15" s="3">
        <f t="shared" ref="D15:D24" si="0">B15/C15</f>
        <v>1.57</v>
      </c>
      <c r="E15" s="78" t="s">
        <v>84</v>
      </c>
      <c r="F15" s="60"/>
      <c r="G15" s="60"/>
      <c r="H15" s="61"/>
    </row>
    <row r="16" spans="1:16" x14ac:dyDescent="0.25">
      <c r="A16" s="2" t="s">
        <v>6</v>
      </c>
      <c r="B16" s="3">
        <v>500</v>
      </c>
      <c r="C16" s="2">
        <f>D6</f>
        <v>2016</v>
      </c>
      <c r="D16" s="3">
        <f t="shared" si="0"/>
        <v>0.24801587301587302</v>
      </c>
      <c r="E16" s="76" t="s">
        <v>96</v>
      </c>
      <c r="F16" s="61"/>
      <c r="G16" s="61"/>
      <c r="H16" s="61"/>
    </row>
    <row r="17" spans="1:5" x14ac:dyDescent="0.25">
      <c r="A17" s="2" t="s">
        <v>20</v>
      </c>
      <c r="B17" s="3"/>
      <c r="C17" s="2">
        <f>C16*12</f>
        <v>24192</v>
      </c>
      <c r="D17" s="3">
        <f t="shared" si="0"/>
        <v>0</v>
      </c>
    </row>
    <row r="18" spans="1:5" x14ac:dyDescent="0.25">
      <c r="A18" s="2" t="s">
        <v>3</v>
      </c>
      <c r="B18" s="3">
        <v>700</v>
      </c>
      <c r="C18" s="2">
        <f>C16</f>
        <v>2016</v>
      </c>
      <c r="D18" s="3">
        <f t="shared" si="0"/>
        <v>0.34722222222222221</v>
      </c>
      <c r="E18" t="s">
        <v>85</v>
      </c>
    </row>
    <row r="19" spans="1:5" x14ac:dyDescent="0.25">
      <c r="A19" s="2" t="s">
        <v>28</v>
      </c>
      <c r="B19" s="3">
        <v>2940</v>
      </c>
      <c r="C19" s="2">
        <v>40000</v>
      </c>
      <c r="D19" s="3">
        <f t="shared" si="0"/>
        <v>7.3499999999999996E-2</v>
      </c>
      <c r="E19" t="s">
        <v>92</v>
      </c>
    </row>
    <row r="20" spans="1:5" x14ac:dyDescent="0.25">
      <c r="A20" s="2" t="s">
        <v>109</v>
      </c>
      <c r="B20" s="3">
        <v>63.4</v>
      </c>
      <c r="C20" s="2">
        <f>C21</f>
        <v>2016</v>
      </c>
      <c r="D20" s="3">
        <f>B20/C20</f>
        <v>3.1448412698412698E-2</v>
      </c>
      <c r="E20" t="s">
        <v>108</v>
      </c>
    </row>
    <row r="21" spans="1:5" x14ac:dyDescent="0.25">
      <c r="A21" s="2" t="s">
        <v>26</v>
      </c>
      <c r="B21" s="3">
        <v>250</v>
      </c>
      <c r="C21" s="2">
        <f>C18</f>
        <v>2016</v>
      </c>
      <c r="D21" s="3">
        <f t="shared" si="0"/>
        <v>0.12400793650793651</v>
      </c>
      <c r="E21" t="s">
        <v>97</v>
      </c>
    </row>
    <row r="22" spans="1:5" x14ac:dyDescent="0.25">
      <c r="A22" s="2" t="s">
        <v>4</v>
      </c>
      <c r="B22" s="3">
        <f>I62</f>
        <v>9122.6464646464647</v>
      </c>
      <c r="C22" s="2">
        <f>C18</f>
        <v>2016</v>
      </c>
      <c r="D22" s="3">
        <f t="shared" si="0"/>
        <v>4.5251222542889211</v>
      </c>
      <c r="E22" t="s">
        <v>86</v>
      </c>
    </row>
    <row r="23" spans="1:5" x14ac:dyDescent="0.25">
      <c r="A23" s="2" t="s">
        <v>12</v>
      </c>
      <c r="B23" s="3">
        <f>C11</f>
        <v>2597.7350000000001</v>
      </c>
      <c r="C23" s="2">
        <f>C22</f>
        <v>2016</v>
      </c>
      <c r="D23" s="3">
        <f t="shared" si="0"/>
        <v>1.2885590277777779</v>
      </c>
      <c r="E23" t="s">
        <v>89</v>
      </c>
    </row>
    <row r="24" spans="1:5" x14ac:dyDescent="0.25">
      <c r="A24" s="2" t="s">
        <v>14</v>
      </c>
      <c r="B24" s="8">
        <f>C12</f>
        <v>2597.7350000000001</v>
      </c>
      <c r="C24" s="2">
        <f>C23</f>
        <v>2016</v>
      </c>
      <c r="D24" s="3">
        <f t="shared" si="0"/>
        <v>1.2885590277777779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9.4964347542889218</v>
      </c>
    </row>
    <row r="27" spans="1:5" x14ac:dyDescent="0.25">
      <c r="A27" s="2" t="s">
        <v>17</v>
      </c>
      <c r="B27" s="2"/>
      <c r="C27" s="10">
        <v>0.1</v>
      </c>
      <c r="D27" s="8">
        <f>D25*C27</f>
        <v>0.94964347542889227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0.94964347542889227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11.395721705146705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0.75781549339225596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12.153537198538961</v>
      </c>
    </row>
    <row r="33" spans="1:9" x14ac:dyDescent="0.25">
      <c r="A33" s="15" t="s">
        <v>27</v>
      </c>
      <c r="B33" s="2"/>
      <c r="C33" s="2">
        <f>D6</f>
        <v>2016</v>
      </c>
      <c r="D33" s="8">
        <f>D32*C33</f>
        <v>24501.530992254546</v>
      </c>
    </row>
    <row r="35" spans="1:9" ht="50.25" customHeight="1" x14ac:dyDescent="0.25">
      <c r="A35" s="100" t="s">
        <v>152</v>
      </c>
      <c r="B35" s="100"/>
      <c r="C35" s="100"/>
      <c r="D35" s="100"/>
      <c r="E35" s="100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94" t="s">
        <v>30</v>
      </c>
      <c r="C50" s="95"/>
      <c r="D50" s="95"/>
      <c r="E50" s="95"/>
      <c r="F50" s="95"/>
      <c r="G50" s="96"/>
      <c r="H50" s="18" t="s">
        <v>31</v>
      </c>
      <c r="I50" s="18" t="s">
        <v>32</v>
      </c>
    </row>
    <row r="51" spans="1:9" x14ac:dyDescent="0.25">
      <c r="A51" s="19" t="s">
        <v>33</v>
      </c>
      <c r="B51" s="82" t="s">
        <v>34</v>
      </c>
      <c r="C51" s="83"/>
      <c r="D51" s="83"/>
      <c r="E51" s="83"/>
      <c r="F51" s="83"/>
      <c r="G51" s="84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2" t="s">
        <v>36</v>
      </c>
      <c r="C52" s="83"/>
      <c r="D52" s="83"/>
      <c r="E52" s="83"/>
      <c r="F52" s="83"/>
      <c r="G52" s="84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2" t="s">
        <v>38</v>
      </c>
      <c r="C53" s="83"/>
      <c r="D53" s="83"/>
      <c r="E53" s="83"/>
      <c r="F53" s="83"/>
      <c r="G53" s="84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2" t="s">
        <v>40</v>
      </c>
      <c r="C54" s="83"/>
      <c r="D54" s="83"/>
      <c r="E54" s="83"/>
      <c r="F54" s="83"/>
      <c r="G54" s="84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85" t="s">
        <v>42</v>
      </c>
      <c r="C55" s="86"/>
      <c r="D55" s="86"/>
      <c r="E55" s="86"/>
      <c r="F55" s="86"/>
      <c r="G55" s="8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85" t="s">
        <v>44</v>
      </c>
      <c r="C56" s="86"/>
      <c r="D56" s="86"/>
      <c r="E56" s="86"/>
      <c r="F56" s="86"/>
      <c r="G56" s="8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88" t="s">
        <v>46</v>
      </c>
      <c r="C57" s="8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85" t="s">
        <v>50</v>
      </c>
      <c r="C58" s="86"/>
      <c r="D58" s="86"/>
      <c r="E58" s="86"/>
      <c r="F58" s="86"/>
      <c r="G58" s="87"/>
      <c r="H58" s="20">
        <v>6.0000000000000001E-3</v>
      </c>
      <c r="I58" s="21">
        <f t="shared" si="1"/>
        <v>32.028931151515152</v>
      </c>
    </row>
    <row r="59" spans="1:9" x14ac:dyDescent="0.25">
      <c r="A59" s="90" t="s">
        <v>51</v>
      </c>
      <c r="B59" s="91"/>
      <c r="C59" s="91"/>
      <c r="D59" s="91"/>
      <c r="E59" s="91"/>
      <c r="F59" s="91"/>
      <c r="G59" s="9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4" spans="1:2" x14ac:dyDescent="0.25">
      <c r="A114" t="s">
        <v>93</v>
      </c>
      <c r="B114" t="s">
        <v>125</v>
      </c>
    </row>
    <row r="130" spans="1:1" x14ac:dyDescent="0.25">
      <c r="A130" t="s">
        <v>94</v>
      </c>
    </row>
    <row r="131" spans="1:1" x14ac:dyDescent="0.25">
      <c r="A131" t="s">
        <v>95</v>
      </c>
    </row>
    <row r="149" spans="1:4" ht="78" customHeight="1" x14ac:dyDescent="0.25">
      <c r="A149" s="79" t="s">
        <v>113</v>
      </c>
      <c r="B149" s="80"/>
      <c r="C149" s="80"/>
      <c r="D149" s="81"/>
    </row>
    <row r="150" spans="1:4" x14ac:dyDescent="0.25">
      <c r="A150" s="46" t="s">
        <v>120</v>
      </c>
      <c r="B150" s="47"/>
      <c r="C150" s="47"/>
      <c r="D150" s="49"/>
    </row>
    <row r="151" spans="1:4" x14ac:dyDescent="0.25">
      <c r="A151" s="46" t="s">
        <v>121</v>
      </c>
      <c r="B151" s="47"/>
      <c r="C151" s="47"/>
      <c r="D151" s="49"/>
    </row>
    <row r="152" spans="1:4" x14ac:dyDescent="0.25">
      <c r="A152" s="46" t="s">
        <v>122</v>
      </c>
      <c r="B152" s="47"/>
      <c r="C152" s="47"/>
      <c r="D152" s="49"/>
    </row>
    <row r="153" spans="1:4" x14ac:dyDescent="0.25">
      <c r="A153" s="50" t="s">
        <v>123</v>
      </c>
      <c r="B153" s="51"/>
      <c r="C153" s="51"/>
      <c r="D153" s="52"/>
    </row>
    <row r="155" spans="1:4" x14ac:dyDescent="0.25">
      <c r="C155" s="56"/>
    </row>
    <row r="158" spans="1:4" x14ac:dyDescent="0.25">
      <c r="A158" t="s">
        <v>106</v>
      </c>
    </row>
  </sheetData>
  <mergeCells count="20">
    <mergeCell ref="K10:L10"/>
    <mergeCell ref="M10:N10"/>
    <mergeCell ref="O10:P10"/>
    <mergeCell ref="K11:L11"/>
    <mergeCell ref="M11:N11"/>
    <mergeCell ref="O11:P11"/>
    <mergeCell ref="B53:G53"/>
    <mergeCell ref="A1:F1"/>
    <mergeCell ref="B50:G50"/>
    <mergeCell ref="B51:G51"/>
    <mergeCell ref="B52:G52"/>
    <mergeCell ref="E8:G8"/>
    <mergeCell ref="A35:E35"/>
    <mergeCell ref="A149:D149"/>
    <mergeCell ref="B54:G54"/>
    <mergeCell ref="B55:G55"/>
    <mergeCell ref="B56:G56"/>
    <mergeCell ref="B57:C57"/>
    <mergeCell ref="B58:G58"/>
    <mergeCell ref="A59:G59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79"/>
  <sheetViews>
    <sheetView workbookViewId="0">
      <selection activeCell="B13" sqref="B13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6" x14ac:dyDescent="0.25">
      <c r="A1" s="93" t="s">
        <v>7</v>
      </c>
      <c r="B1" s="93"/>
      <c r="C1" s="93"/>
      <c r="D1" s="93"/>
      <c r="E1" s="93"/>
      <c r="F1" s="93"/>
    </row>
    <row r="2" spans="1:16" x14ac:dyDescent="0.25">
      <c r="A2" s="58" t="s">
        <v>138</v>
      </c>
      <c r="B2" s="65"/>
      <c r="C2" s="65"/>
      <c r="D2" s="65"/>
      <c r="E2" s="65"/>
      <c r="F2" s="65"/>
    </row>
    <row r="3" spans="1:16" x14ac:dyDescent="0.25">
      <c r="B3" s="39" t="s">
        <v>157</v>
      </c>
      <c r="C3" s="58"/>
      <c r="D3" s="58">
        <v>24</v>
      </c>
      <c r="E3" s="58"/>
      <c r="F3" s="58"/>
    </row>
    <row r="4" spans="1:16" x14ac:dyDescent="0.25">
      <c r="A4" s="58"/>
      <c r="B4" s="39" t="s">
        <v>77</v>
      </c>
      <c r="C4" s="58"/>
      <c r="D4" s="58">
        <v>143.1</v>
      </c>
      <c r="E4" s="58"/>
      <c r="F4" s="58"/>
    </row>
    <row r="5" spans="1:16" x14ac:dyDescent="0.25">
      <c r="A5" s="58"/>
      <c r="B5" s="39" t="s">
        <v>78</v>
      </c>
      <c r="C5" s="58"/>
      <c r="D5" s="58">
        <v>20</v>
      </c>
      <c r="E5" s="58"/>
      <c r="F5" s="58"/>
    </row>
    <row r="6" spans="1:16" x14ac:dyDescent="0.25">
      <c r="A6" s="9" t="s">
        <v>143</v>
      </c>
      <c r="B6" t="s">
        <v>23</v>
      </c>
      <c r="D6">
        <f>D4*D5</f>
        <v>2862</v>
      </c>
    </row>
    <row r="7" spans="1:16" x14ac:dyDescent="0.25">
      <c r="B7" t="s">
        <v>110</v>
      </c>
      <c r="D7">
        <f>D6*10</f>
        <v>28620</v>
      </c>
    </row>
    <row r="8" spans="1:16" x14ac:dyDescent="0.25">
      <c r="A8" s="58" t="s">
        <v>9</v>
      </c>
      <c r="B8" s="6">
        <v>233300</v>
      </c>
      <c r="C8" s="58"/>
      <c r="D8" s="58"/>
      <c r="E8" s="104" t="s">
        <v>104</v>
      </c>
      <c r="F8" s="104"/>
      <c r="G8" s="104"/>
      <c r="H8" s="104"/>
    </row>
    <row r="9" spans="1:16" x14ac:dyDescent="0.25">
      <c r="A9" s="58" t="s">
        <v>124</v>
      </c>
      <c r="B9" s="6">
        <f>B8*30%</f>
        <v>69990</v>
      </c>
      <c r="C9" s="58"/>
      <c r="D9" s="58"/>
      <c r="E9" s="39" t="s">
        <v>91</v>
      </c>
      <c r="F9" s="77"/>
      <c r="G9" s="60"/>
      <c r="H9" s="60"/>
    </row>
    <row r="10" spans="1:16" x14ac:dyDescent="0.25">
      <c r="A10" s="58" t="s">
        <v>10</v>
      </c>
      <c r="B10" s="6">
        <f>B8-B9</f>
        <v>163310</v>
      </c>
      <c r="C10" s="58"/>
      <c r="D10" s="58"/>
      <c r="E10" s="77"/>
      <c r="F10" s="77"/>
      <c r="G10" s="60"/>
      <c r="H10" s="60"/>
      <c r="K10" s="101" t="s">
        <v>158</v>
      </c>
      <c r="L10" s="101"/>
      <c r="M10" s="101" t="s">
        <v>159</v>
      </c>
      <c r="N10" s="101"/>
      <c r="O10" s="101" t="s">
        <v>160</v>
      </c>
      <c r="P10" s="101"/>
    </row>
    <row r="11" spans="1:16" x14ac:dyDescent="0.25">
      <c r="A11" s="58" t="s">
        <v>11</v>
      </c>
      <c r="B11" s="6">
        <v>60</v>
      </c>
      <c r="C11" s="6">
        <f>B10/B11</f>
        <v>2721.8333333333335</v>
      </c>
      <c r="D11" s="58"/>
      <c r="E11" s="39" t="s">
        <v>90</v>
      </c>
      <c r="F11" s="77"/>
      <c r="G11" s="60"/>
      <c r="H11" s="60"/>
      <c r="K11" s="102">
        <f>D4*D32</f>
        <v>1400.8925864448699</v>
      </c>
      <c r="L11" s="101"/>
      <c r="M11" s="102">
        <f>K11*24</f>
        <v>33621.422074676877</v>
      </c>
      <c r="N11" s="101"/>
      <c r="O11" s="102">
        <f>K11*200</f>
        <v>280178.51728897396</v>
      </c>
      <c r="P11" s="101"/>
    </row>
    <row r="12" spans="1:16" x14ac:dyDescent="0.25">
      <c r="A12" s="58" t="s">
        <v>13</v>
      </c>
      <c r="B12" s="14">
        <v>0.14000000000000001</v>
      </c>
      <c r="C12" s="7">
        <f>B8*B12/12</f>
        <v>2721.8333333333335</v>
      </c>
      <c r="D12" s="58"/>
      <c r="E12" s="39" t="s">
        <v>105</v>
      </c>
      <c r="F12" s="77"/>
      <c r="G12" s="60"/>
      <c r="H12" s="60"/>
    </row>
    <row r="13" spans="1:16" x14ac:dyDescent="0.25">
      <c r="E13" s="60"/>
      <c r="F13" s="60"/>
      <c r="G13" s="60"/>
      <c r="H13" s="60"/>
    </row>
    <row r="14" spans="1:16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0"/>
      <c r="F14" s="60"/>
      <c r="G14" s="60"/>
      <c r="H14" s="60"/>
    </row>
    <row r="15" spans="1:16" x14ac:dyDescent="0.25">
      <c r="A15" s="2" t="s">
        <v>2</v>
      </c>
      <c r="B15" s="2">
        <v>6.28</v>
      </c>
      <c r="C15" s="2">
        <v>3.5</v>
      </c>
      <c r="D15" s="3">
        <f t="shared" ref="D15:D24" si="0">B15/C15</f>
        <v>1.7942857142857143</v>
      </c>
      <c r="E15" s="60" t="s">
        <v>84</v>
      </c>
      <c r="F15" s="60"/>
      <c r="G15" s="60"/>
      <c r="H15" s="60"/>
    </row>
    <row r="16" spans="1:16" x14ac:dyDescent="0.25">
      <c r="A16" s="2" t="s">
        <v>6</v>
      </c>
      <c r="B16" s="3">
        <v>600</v>
      </c>
      <c r="C16" s="2">
        <f>D6</f>
        <v>2862</v>
      </c>
      <c r="D16" s="3">
        <f t="shared" si="0"/>
        <v>0.20964360587002095</v>
      </c>
      <c r="E16" s="60" t="s">
        <v>96</v>
      </c>
      <c r="F16" s="60"/>
      <c r="G16" s="60"/>
      <c r="H16" s="60"/>
    </row>
    <row r="17" spans="1:5" x14ac:dyDescent="0.25">
      <c r="A17" s="2" t="s">
        <v>20</v>
      </c>
      <c r="B17" s="3"/>
      <c r="C17" s="2">
        <f>C16*12</f>
        <v>34344</v>
      </c>
      <c r="D17" s="3">
        <f t="shared" si="0"/>
        <v>0</v>
      </c>
    </row>
    <row r="18" spans="1:5" x14ac:dyDescent="0.25">
      <c r="A18" s="2" t="s">
        <v>3</v>
      </c>
      <c r="B18" s="3">
        <v>700</v>
      </c>
      <c r="C18" s="2">
        <f>C16</f>
        <v>2862</v>
      </c>
      <c r="D18" s="3">
        <f t="shared" si="0"/>
        <v>0.2445842068483578</v>
      </c>
      <c r="E18" t="s">
        <v>85</v>
      </c>
    </row>
    <row r="19" spans="1:5" x14ac:dyDescent="0.25">
      <c r="A19" s="2" t="s">
        <v>114</v>
      </c>
      <c r="B19" s="3">
        <v>12105</v>
      </c>
      <c r="C19" s="2">
        <v>60000</v>
      </c>
      <c r="D19" s="3">
        <f t="shared" si="0"/>
        <v>0.20175000000000001</v>
      </c>
      <c r="E19" t="s">
        <v>92</v>
      </c>
    </row>
    <row r="20" spans="1:5" x14ac:dyDescent="0.25">
      <c r="A20" s="2" t="s">
        <v>109</v>
      </c>
      <c r="B20" s="3">
        <v>63.4</v>
      </c>
      <c r="C20" s="2">
        <f>C21</f>
        <v>2862</v>
      </c>
      <c r="D20" s="3">
        <f>B20/C20</f>
        <v>2.2152341020265549E-2</v>
      </c>
      <c r="E20" t="s">
        <v>108</v>
      </c>
    </row>
    <row r="21" spans="1:5" x14ac:dyDescent="0.25">
      <c r="A21" s="2" t="s">
        <v>26</v>
      </c>
      <c r="B21" s="3">
        <v>250</v>
      </c>
      <c r="C21" s="2">
        <f>C18</f>
        <v>2862</v>
      </c>
      <c r="D21" s="3">
        <f t="shared" si="0"/>
        <v>8.7351502445842069E-2</v>
      </c>
      <c r="E21" t="s">
        <v>97</v>
      </c>
    </row>
    <row r="22" spans="1:5" x14ac:dyDescent="0.25">
      <c r="A22" s="2" t="s">
        <v>4</v>
      </c>
      <c r="B22" s="3">
        <f>I62</f>
        <v>9122.6464646464647</v>
      </c>
      <c r="C22" s="2">
        <f>C18</f>
        <v>2862</v>
      </c>
      <c r="D22" s="3">
        <f t="shared" si="0"/>
        <v>3.1875074998764727</v>
      </c>
      <c r="E22" t="s">
        <v>86</v>
      </c>
    </row>
    <row r="23" spans="1:5" x14ac:dyDescent="0.25">
      <c r="A23" s="2" t="s">
        <v>12</v>
      </c>
      <c r="B23" s="3">
        <f>C11</f>
        <v>2721.8333333333335</v>
      </c>
      <c r="C23" s="2">
        <f>C22</f>
        <v>2862</v>
      </c>
      <c r="D23" s="3">
        <f t="shared" si="0"/>
        <v>0.95102492429536456</v>
      </c>
      <c r="E23" t="s">
        <v>89</v>
      </c>
    </row>
    <row r="24" spans="1:5" x14ac:dyDescent="0.25">
      <c r="A24" s="2" t="s">
        <v>14</v>
      </c>
      <c r="B24" s="8">
        <f>C12</f>
        <v>2721.8333333333335</v>
      </c>
      <c r="C24" s="2">
        <f>C23</f>
        <v>2862</v>
      </c>
      <c r="D24" s="3">
        <f t="shared" si="0"/>
        <v>0.95102492429536456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7.6493247189374021</v>
      </c>
    </row>
    <row r="27" spans="1:5" x14ac:dyDescent="0.25">
      <c r="A27" s="2" t="s">
        <v>17</v>
      </c>
      <c r="B27" s="2"/>
      <c r="C27" s="10">
        <v>0.1</v>
      </c>
      <c r="D27" s="8">
        <f>D25*C27</f>
        <v>0.76493247189374025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0.76493247189374025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9.1791896627248821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0.61041611257120465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9.7896057752960868</v>
      </c>
    </row>
    <row r="33" spans="1:9" x14ac:dyDescent="0.25">
      <c r="A33" s="15" t="s">
        <v>27</v>
      </c>
      <c r="B33" s="2"/>
      <c r="C33" s="2">
        <f>D6</f>
        <v>2862</v>
      </c>
      <c r="D33" s="8">
        <f>D32*C33</f>
        <v>28017.8517288974</v>
      </c>
    </row>
    <row r="35" spans="1:9" ht="50.25" customHeight="1" x14ac:dyDescent="0.25">
      <c r="A35" s="100" t="s">
        <v>152</v>
      </c>
      <c r="B35" s="100"/>
      <c r="C35" s="100"/>
      <c r="D35" s="100"/>
      <c r="E35" s="100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94" t="s">
        <v>30</v>
      </c>
      <c r="C50" s="95"/>
      <c r="D50" s="95"/>
      <c r="E50" s="95"/>
      <c r="F50" s="95"/>
      <c r="G50" s="96"/>
      <c r="H50" s="18" t="s">
        <v>31</v>
      </c>
      <c r="I50" s="18" t="s">
        <v>32</v>
      </c>
    </row>
    <row r="51" spans="1:9" x14ac:dyDescent="0.25">
      <c r="A51" s="19" t="s">
        <v>33</v>
      </c>
      <c r="B51" s="82" t="s">
        <v>34</v>
      </c>
      <c r="C51" s="83"/>
      <c r="D51" s="83"/>
      <c r="E51" s="83"/>
      <c r="F51" s="83"/>
      <c r="G51" s="84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2" t="s">
        <v>36</v>
      </c>
      <c r="C52" s="83"/>
      <c r="D52" s="83"/>
      <c r="E52" s="83"/>
      <c r="F52" s="83"/>
      <c r="G52" s="84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2" t="s">
        <v>38</v>
      </c>
      <c r="C53" s="83"/>
      <c r="D53" s="83"/>
      <c r="E53" s="83"/>
      <c r="F53" s="83"/>
      <c r="G53" s="84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2" t="s">
        <v>40</v>
      </c>
      <c r="C54" s="83"/>
      <c r="D54" s="83"/>
      <c r="E54" s="83"/>
      <c r="F54" s="83"/>
      <c r="G54" s="84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85" t="s">
        <v>42</v>
      </c>
      <c r="C55" s="86"/>
      <c r="D55" s="86"/>
      <c r="E55" s="86"/>
      <c r="F55" s="86"/>
      <c r="G55" s="8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85" t="s">
        <v>44</v>
      </c>
      <c r="C56" s="86"/>
      <c r="D56" s="86"/>
      <c r="E56" s="86"/>
      <c r="F56" s="86"/>
      <c r="G56" s="8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88" t="s">
        <v>46</v>
      </c>
      <c r="C57" s="8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85" t="s">
        <v>50</v>
      </c>
      <c r="C58" s="86"/>
      <c r="D58" s="86"/>
      <c r="E58" s="86"/>
      <c r="F58" s="86"/>
      <c r="G58" s="87"/>
      <c r="H58" s="20">
        <v>6.0000000000000001E-3</v>
      </c>
      <c r="I58" s="21">
        <f t="shared" si="1"/>
        <v>32.028931151515152</v>
      </c>
    </row>
    <row r="59" spans="1:9" x14ac:dyDescent="0.25">
      <c r="A59" s="90" t="s">
        <v>51</v>
      </c>
      <c r="B59" s="91"/>
      <c r="C59" s="91"/>
      <c r="D59" s="91"/>
      <c r="E59" s="91"/>
      <c r="F59" s="91"/>
      <c r="G59" s="9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3" spans="1:6" x14ac:dyDescent="0.25">
      <c r="E113" s="57">
        <f>C113*6</f>
        <v>0</v>
      </c>
    </row>
    <row r="114" spans="1:6" x14ac:dyDescent="0.25">
      <c r="A114" s="103" t="s">
        <v>129</v>
      </c>
      <c r="B114" s="103"/>
      <c r="C114" s="103"/>
      <c r="D114" s="103"/>
      <c r="E114" s="103"/>
      <c r="F114" s="103"/>
    </row>
    <row r="130" spans="1:1" x14ac:dyDescent="0.25">
      <c r="A130" t="s">
        <v>94</v>
      </c>
    </row>
    <row r="131" spans="1:1" x14ac:dyDescent="0.25">
      <c r="A131" t="s">
        <v>95</v>
      </c>
    </row>
    <row r="149" spans="1:4" ht="78" customHeight="1" x14ac:dyDescent="0.25">
      <c r="A149" s="79" t="s">
        <v>141</v>
      </c>
      <c r="B149" s="80"/>
      <c r="C149" s="80"/>
      <c r="D149" s="81"/>
    </row>
    <row r="150" spans="1:4" x14ac:dyDescent="0.25">
      <c r="A150" s="46"/>
      <c r="B150" s="47"/>
      <c r="C150" s="47"/>
      <c r="D150" s="49"/>
    </row>
    <row r="151" spans="1:4" x14ac:dyDescent="0.25">
      <c r="A151" s="46"/>
      <c r="B151" s="47"/>
      <c r="C151" s="47"/>
      <c r="D151" s="49"/>
    </row>
    <row r="152" spans="1:4" x14ac:dyDescent="0.25">
      <c r="A152" s="46"/>
      <c r="B152" s="47"/>
      <c r="C152" s="47"/>
      <c r="D152" s="49"/>
    </row>
    <row r="153" spans="1:4" x14ac:dyDescent="0.25">
      <c r="A153" s="50" t="s">
        <v>142</v>
      </c>
      <c r="B153" s="51"/>
      <c r="C153" s="51"/>
      <c r="D153" s="52"/>
    </row>
    <row r="155" spans="1:4" x14ac:dyDescent="0.25">
      <c r="C155" s="56"/>
    </row>
    <row r="156" spans="1:4" x14ac:dyDescent="0.25">
      <c r="C156" s="56"/>
    </row>
    <row r="157" spans="1:4" x14ac:dyDescent="0.25">
      <c r="C157" s="56"/>
    </row>
    <row r="179" spans="1:1" x14ac:dyDescent="0.25">
      <c r="A179" t="s">
        <v>106</v>
      </c>
    </row>
  </sheetData>
  <mergeCells count="21">
    <mergeCell ref="K10:L10"/>
    <mergeCell ref="M10:N10"/>
    <mergeCell ref="O10:P10"/>
    <mergeCell ref="K11:L11"/>
    <mergeCell ref="M11:N11"/>
    <mergeCell ref="O11:P11"/>
    <mergeCell ref="B53:G53"/>
    <mergeCell ref="A1:F1"/>
    <mergeCell ref="B50:G50"/>
    <mergeCell ref="B51:G51"/>
    <mergeCell ref="B52:G52"/>
    <mergeCell ref="E8:H8"/>
    <mergeCell ref="A35:E35"/>
    <mergeCell ref="A149:D149"/>
    <mergeCell ref="A114:F114"/>
    <mergeCell ref="B54:G54"/>
    <mergeCell ref="B55:G55"/>
    <mergeCell ref="B56:G56"/>
    <mergeCell ref="B57:C57"/>
    <mergeCell ref="B58:G58"/>
    <mergeCell ref="A59:G59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60"/>
  <sheetViews>
    <sheetView workbookViewId="0">
      <selection activeCell="E4" sqref="E4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5" x14ac:dyDescent="0.25">
      <c r="A1" s="93" t="s">
        <v>7</v>
      </c>
      <c r="B1" s="93"/>
      <c r="C1" s="93"/>
      <c r="D1" s="93"/>
      <c r="E1" s="93"/>
      <c r="F1" s="93"/>
    </row>
    <row r="2" spans="1:15" x14ac:dyDescent="0.25">
      <c r="A2" s="59" t="s">
        <v>147</v>
      </c>
      <c r="B2" s="65"/>
      <c r="C2" s="65"/>
      <c r="D2" s="65"/>
      <c r="E2" s="65"/>
      <c r="F2" s="65"/>
    </row>
    <row r="3" spans="1:15" x14ac:dyDescent="0.25">
      <c r="B3" s="39" t="s">
        <v>156</v>
      </c>
      <c r="C3" s="59"/>
      <c r="D3" s="59">
        <v>24</v>
      </c>
      <c r="E3" s="59"/>
      <c r="F3" s="59"/>
    </row>
    <row r="4" spans="1:15" x14ac:dyDescent="0.25">
      <c r="A4" s="59"/>
      <c r="B4" s="39" t="s">
        <v>77</v>
      </c>
      <c r="C4" s="59"/>
      <c r="D4" s="59">
        <v>183.6</v>
      </c>
      <c r="E4" s="59"/>
      <c r="F4" s="59"/>
    </row>
    <row r="5" spans="1:15" x14ac:dyDescent="0.25">
      <c r="A5" s="59"/>
      <c r="B5" s="39" t="s">
        <v>78</v>
      </c>
      <c r="C5" s="59"/>
      <c r="D5" s="59">
        <v>20</v>
      </c>
      <c r="E5" s="59"/>
      <c r="F5" s="59"/>
    </row>
    <row r="6" spans="1:15" x14ac:dyDescent="0.25">
      <c r="A6" s="9" t="s">
        <v>149</v>
      </c>
      <c r="B6" t="s">
        <v>23</v>
      </c>
      <c r="D6">
        <f>D4*D5</f>
        <v>3672</v>
      </c>
    </row>
    <row r="7" spans="1:15" x14ac:dyDescent="0.25">
      <c r="B7" t="s">
        <v>110</v>
      </c>
      <c r="D7">
        <f>D6*10</f>
        <v>36720</v>
      </c>
    </row>
    <row r="8" spans="1:15" x14ac:dyDescent="0.25">
      <c r="A8" s="59" t="s">
        <v>9</v>
      </c>
      <c r="B8" s="6">
        <v>161600</v>
      </c>
      <c r="C8" s="59"/>
      <c r="D8" s="59"/>
      <c r="E8" s="104" t="s">
        <v>104</v>
      </c>
      <c r="F8" s="104"/>
      <c r="G8" s="104"/>
      <c r="H8" s="60"/>
    </row>
    <row r="9" spans="1:15" x14ac:dyDescent="0.25">
      <c r="A9" s="59" t="s">
        <v>124</v>
      </c>
      <c r="B9" s="6">
        <f>B8*30%</f>
        <v>48480</v>
      </c>
      <c r="C9" s="59"/>
      <c r="D9" s="59"/>
      <c r="E9" s="39" t="s">
        <v>91</v>
      </c>
      <c r="F9" s="77"/>
      <c r="G9" s="60"/>
      <c r="H9" s="60"/>
    </row>
    <row r="10" spans="1:15" x14ac:dyDescent="0.25">
      <c r="A10" s="59" t="s">
        <v>10</v>
      </c>
      <c r="B10" s="6">
        <f>B8-B9</f>
        <v>113120</v>
      </c>
      <c r="C10" s="59"/>
      <c r="D10" s="59"/>
      <c r="E10" s="77"/>
      <c r="F10" s="77"/>
      <c r="G10" s="60"/>
      <c r="H10" s="60"/>
      <c r="J10" s="101" t="s">
        <v>158</v>
      </c>
      <c r="K10" s="101"/>
      <c r="L10" s="101" t="s">
        <v>159</v>
      </c>
      <c r="M10" s="101"/>
      <c r="N10" s="101" t="s">
        <v>160</v>
      </c>
      <c r="O10" s="101"/>
    </row>
    <row r="11" spans="1:15" x14ac:dyDescent="0.25">
      <c r="A11" s="59" t="s">
        <v>11</v>
      </c>
      <c r="B11" s="6">
        <v>60</v>
      </c>
      <c r="C11" s="6">
        <f>B10/B11</f>
        <v>1885.3333333333333</v>
      </c>
      <c r="D11" s="59"/>
      <c r="E11" s="39" t="s">
        <v>90</v>
      </c>
      <c r="F11" s="77"/>
      <c r="G11" s="60"/>
      <c r="H11" s="60"/>
      <c r="J11" s="102">
        <f>D4*D32</f>
        <v>1188.4519531428875</v>
      </c>
      <c r="K11" s="101"/>
      <c r="L11" s="102">
        <f>J11*24</f>
        <v>28522.846875429299</v>
      </c>
      <c r="M11" s="101"/>
      <c r="N11" s="102">
        <f>J11*200</f>
        <v>237690.3906285775</v>
      </c>
      <c r="O11" s="101"/>
    </row>
    <row r="12" spans="1:15" x14ac:dyDescent="0.25">
      <c r="A12" s="59" t="s">
        <v>13</v>
      </c>
      <c r="B12" s="14">
        <v>0.14000000000000001</v>
      </c>
      <c r="C12" s="7">
        <f>B8*B12/12</f>
        <v>1885.3333333333337</v>
      </c>
      <c r="D12" s="59"/>
      <c r="E12" s="39" t="s">
        <v>105</v>
      </c>
      <c r="F12" s="77"/>
      <c r="G12" s="60"/>
      <c r="H12" s="60"/>
    </row>
    <row r="13" spans="1:15" x14ac:dyDescent="0.25">
      <c r="E13" s="60"/>
      <c r="F13" s="60"/>
      <c r="G13" s="60"/>
      <c r="H13" s="60"/>
    </row>
    <row r="14" spans="1:15" x14ac:dyDescent="0.25">
      <c r="A14" s="1" t="s">
        <v>0</v>
      </c>
      <c r="B14" s="1" t="s">
        <v>8</v>
      </c>
      <c r="C14" s="1" t="s">
        <v>21</v>
      </c>
      <c r="D14" s="1" t="s">
        <v>1</v>
      </c>
      <c r="E14" s="60"/>
      <c r="F14" s="60"/>
      <c r="G14" s="60"/>
      <c r="H14" s="60"/>
    </row>
    <row r="15" spans="1:15" x14ac:dyDescent="0.25">
      <c r="A15" s="2" t="s">
        <v>2</v>
      </c>
      <c r="B15" s="2">
        <v>6.28</v>
      </c>
      <c r="C15" s="2">
        <v>6</v>
      </c>
      <c r="D15" s="3">
        <f t="shared" ref="D15:D24" si="0">B15/C15</f>
        <v>1.0466666666666666</v>
      </c>
      <c r="E15" s="107" t="s">
        <v>84</v>
      </c>
      <c r="F15" s="108"/>
      <c r="G15" s="108"/>
      <c r="H15" s="108"/>
    </row>
    <row r="16" spans="1:15" x14ac:dyDescent="0.25">
      <c r="A16" s="2" t="s">
        <v>6</v>
      </c>
      <c r="B16" s="3">
        <v>500</v>
      </c>
      <c r="C16" s="2">
        <f>D6</f>
        <v>3672</v>
      </c>
      <c r="D16" s="3">
        <f t="shared" si="0"/>
        <v>0.13616557734204793</v>
      </c>
      <c r="E16" s="107" t="s">
        <v>96</v>
      </c>
      <c r="F16" s="108"/>
      <c r="G16" s="108"/>
      <c r="H16" s="108"/>
    </row>
    <row r="17" spans="1:5" x14ac:dyDescent="0.25">
      <c r="A17" s="2" t="s">
        <v>20</v>
      </c>
      <c r="B17" s="3"/>
      <c r="C17" s="2">
        <f>C16*12</f>
        <v>44064</v>
      </c>
      <c r="D17" s="3">
        <f t="shared" si="0"/>
        <v>0</v>
      </c>
    </row>
    <row r="18" spans="1:5" x14ac:dyDescent="0.25">
      <c r="A18" s="2" t="s">
        <v>3</v>
      </c>
      <c r="B18" s="3">
        <v>700</v>
      </c>
      <c r="C18" s="2">
        <f>C16</f>
        <v>3672</v>
      </c>
      <c r="D18" s="3">
        <f t="shared" si="0"/>
        <v>0.19063180827886711</v>
      </c>
      <c r="E18" t="s">
        <v>85</v>
      </c>
    </row>
    <row r="19" spans="1:5" x14ac:dyDescent="0.25">
      <c r="A19" s="2" t="s">
        <v>28</v>
      </c>
      <c r="B19" s="3">
        <v>3511.88</v>
      </c>
      <c r="C19" s="2">
        <v>40000</v>
      </c>
      <c r="D19" s="3">
        <f t="shared" si="0"/>
        <v>8.7797E-2</v>
      </c>
      <c r="E19" t="s">
        <v>92</v>
      </c>
    </row>
    <row r="20" spans="1:5" x14ac:dyDescent="0.25">
      <c r="A20" s="2" t="s">
        <v>109</v>
      </c>
      <c r="B20" s="3">
        <v>63.4</v>
      </c>
      <c r="C20" s="2">
        <f>C21</f>
        <v>3672</v>
      </c>
      <c r="D20" s="3">
        <f>B20/C20</f>
        <v>1.7265795206971676E-2</v>
      </c>
      <c r="E20" t="s">
        <v>108</v>
      </c>
    </row>
    <row r="21" spans="1:5" x14ac:dyDescent="0.25">
      <c r="A21" s="2" t="s">
        <v>26</v>
      </c>
      <c r="B21" s="3">
        <v>250</v>
      </c>
      <c r="C21" s="2">
        <f>C18</f>
        <v>3672</v>
      </c>
      <c r="D21" s="3">
        <f t="shared" si="0"/>
        <v>6.8082788671023964E-2</v>
      </c>
      <c r="E21" t="s">
        <v>97</v>
      </c>
    </row>
    <row r="22" spans="1:5" x14ac:dyDescent="0.25">
      <c r="A22" s="2" t="s">
        <v>4</v>
      </c>
      <c r="B22" s="3">
        <f>I62</f>
        <v>9122.6464646464647</v>
      </c>
      <c r="C22" s="2">
        <f>C18</f>
        <v>3672</v>
      </c>
      <c r="D22" s="3">
        <f t="shared" si="0"/>
        <v>2.4843808454919567</v>
      </c>
      <c r="E22" t="s">
        <v>86</v>
      </c>
    </row>
    <row r="23" spans="1:5" x14ac:dyDescent="0.25">
      <c r="A23" s="2" t="s">
        <v>12</v>
      </c>
      <c r="B23" s="3">
        <f>C11</f>
        <v>1885.3333333333333</v>
      </c>
      <c r="C23" s="2">
        <f>C22</f>
        <v>3672</v>
      </c>
      <c r="D23" s="3">
        <f t="shared" si="0"/>
        <v>0.51343500363108208</v>
      </c>
      <c r="E23" t="s">
        <v>89</v>
      </c>
    </row>
    <row r="24" spans="1:5" x14ac:dyDescent="0.25">
      <c r="A24" s="2" t="s">
        <v>14</v>
      </c>
      <c r="B24" s="8">
        <f>C12</f>
        <v>1885.3333333333337</v>
      </c>
      <c r="C24" s="2">
        <f>C23</f>
        <v>3672</v>
      </c>
      <c r="D24" s="3">
        <f t="shared" si="0"/>
        <v>0.51343500363108219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5.0578604889196992</v>
      </c>
    </row>
    <row r="27" spans="1:5" x14ac:dyDescent="0.25">
      <c r="A27" s="2" t="s">
        <v>17</v>
      </c>
      <c r="B27" s="2"/>
      <c r="C27" s="10">
        <v>0.1</v>
      </c>
      <c r="D27" s="8">
        <f>D25*C27</f>
        <v>0.50578604889196999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0.50578604889196999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6.0694325867036394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0.40361726701579204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6.4730498537194316</v>
      </c>
    </row>
    <row r="33" spans="1:9" x14ac:dyDescent="0.25">
      <c r="A33" s="15" t="s">
        <v>27</v>
      </c>
      <c r="B33" s="2"/>
      <c r="C33" s="2">
        <f>D6</f>
        <v>3672</v>
      </c>
      <c r="D33" s="8">
        <f>D32*C33</f>
        <v>23769.039062857752</v>
      </c>
    </row>
    <row r="35" spans="1:9" ht="50.25" customHeight="1" x14ac:dyDescent="0.25">
      <c r="A35" s="100" t="s">
        <v>152</v>
      </c>
      <c r="B35" s="100"/>
      <c r="C35" s="100"/>
      <c r="D35" s="100"/>
      <c r="E35" s="100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94" t="s">
        <v>30</v>
      </c>
      <c r="C50" s="95"/>
      <c r="D50" s="95"/>
      <c r="E50" s="95"/>
      <c r="F50" s="95"/>
      <c r="G50" s="96"/>
      <c r="H50" s="18" t="s">
        <v>31</v>
      </c>
      <c r="I50" s="18" t="s">
        <v>32</v>
      </c>
    </row>
    <row r="51" spans="1:9" x14ac:dyDescent="0.25">
      <c r="A51" s="19" t="s">
        <v>33</v>
      </c>
      <c r="B51" s="82" t="s">
        <v>34</v>
      </c>
      <c r="C51" s="83"/>
      <c r="D51" s="83"/>
      <c r="E51" s="83"/>
      <c r="F51" s="83"/>
      <c r="G51" s="84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2" t="s">
        <v>36</v>
      </c>
      <c r="C52" s="83"/>
      <c r="D52" s="83"/>
      <c r="E52" s="83"/>
      <c r="F52" s="83"/>
      <c r="G52" s="84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2" t="s">
        <v>38</v>
      </c>
      <c r="C53" s="83"/>
      <c r="D53" s="83"/>
      <c r="E53" s="83"/>
      <c r="F53" s="83"/>
      <c r="G53" s="84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2" t="s">
        <v>40</v>
      </c>
      <c r="C54" s="83"/>
      <c r="D54" s="83"/>
      <c r="E54" s="83"/>
      <c r="F54" s="83"/>
      <c r="G54" s="84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85" t="s">
        <v>42</v>
      </c>
      <c r="C55" s="86"/>
      <c r="D55" s="86"/>
      <c r="E55" s="86"/>
      <c r="F55" s="86"/>
      <c r="G55" s="8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85" t="s">
        <v>44</v>
      </c>
      <c r="C56" s="86"/>
      <c r="D56" s="86"/>
      <c r="E56" s="86"/>
      <c r="F56" s="86"/>
      <c r="G56" s="8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88" t="s">
        <v>46</v>
      </c>
      <c r="C57" s="8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85" t="s">
        <v>50</v>
      </c>
      <c r="C58" s="86"/>
      <c r="D58" s="86"/>
      <c r="E58" s="86"/>
      <c r="F58" s="86"/>
      <c r="G58" s="87"/>
      <c r="H58" s="20">
        <v>6.0000000000000001E-3</v>
      </c>
      <c r="I58" s="21">
        <f t="shared" si="1"/>
        <v>32.028931151515152</v>
      </c>
    </row>
    <row r="59" spans="1:9" x14ac:dyDescent="0.25">
      <c r="A59" s="90" t="s">
        <v>51</v>
      </c>
      <c r="B59" s="91"/>
      <c r="C59" s="91"/>
      <c r="D59" s="91"/>
      <c r="E59" s="91"/>
      <c r="F59" s="91"/>
      <c r="G59" s="9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4" spans="1:5" x14ac:dyDescent="0.25">
      <c r="A114" t="s">
        <v>93</v>
      </c>
      <c r="B114" t="s">
        <v>133</v>
      </c>
      <c r="E114">
        <f>877.97*4</f>
        <v>3511.88</v>
      </c>
    </row>
    <row r="130" spans="1:1" x14ac:dyDescent="0.25">
      <c r="A130" t="s">
        <v>94</v>
      </c>
    </row>
    <row r="131" spans="1:1" x14ac:dyDescent="0.25">
      <c r="A131" t="s">
        <v>95</v>
      </c>
    </row>
    <row r="148" spans="1:4" x14ac:dyDescent="0.25">
      <c r="B148">
        <v>155000</v>
      </c>
      <c r="C148">
        <v>154900</v>
      </c>
      <c r="D148">
        <v>174900</v>
      </c>
    </row>
    <row r="149" spans="1:4" ht="78" customHeight="1" x14ac:dyDescent="0.25">
      <c r="A149" s="79" t="s">
        <v>113</v>
      </c>
      <c r="B149" s="80"/>
      <c r="C149" s="80"/>
      <c r="D149" s="81"/>
    </row>
    <row r="150" spans="1:4" x14ac:dyDescent="0.25">
      <c r="A150" s="46" t="s">
        <v>134</v>
      </c>
      <c r="B150" s="47"/>
      <c r="C150" s="47"/>
      <c r="D150" s="49"/>
    </row>
    <row r="151" spans="1:4" x14ac:dyDescent="0.25">
      <c r="A151" s="46" t="s">
        <v>135</v>
      </c>
      <c r="B151" s="47"/>
      <c r="C151" s="47"/>
      <c r="D151" s="49"/>
    </row>
    <row r="152" spans="1:4" x14ac:dyDescent="0.25">
      <c r="A152" s="46" t="s">
        <v>136</v>
      </c>
      <c r="B152" s="47"/>
      <c r="C152" s="47"/>
      <c r="D152" s="49"/>
    </row>
    <row r="153" spans="1:4" x14ac:dyDescent="0.25">
      <c r="A153" s="50" t="s">
        <v>137</v>
      </c>
      <c r="B153" s="51"/>
      <c r="C153" s="51"/>
      <c r="D153" s="52"/>
    </row>
    <row r="160" spans="1:4" x14ac:dyDescent="0.25">
      <c r="A160" t="s">
        <v>106</v>
      </c>
    </row>
  </sheetData>
  <mergeCells count="22">
    <mergeCell ref="J10:K10"/>
    <mergeCell ref="L10:M10"/>
    <mergeCell ref="N10:O10"/>
    <mergeCell ref="J11:K11"/>
    <mergeCell ref="L11:M11"/>
    <mergeCell ref="N11:O11"/>
    <mergeCell ref="A149:D149"/>
    <mergeCell ref="B54:G54"/>
    <mergeCell ref="B55:G55"/>
    <mergeCell ref="B56:G56"/>
    <mergeCell ref="B57:C57"/>
    <mergeCell ref="B58:G58"/>
    <mergeCell ref="A59:G59"/>
    <mergeCell ref="B53:G53"/>
    <mergeCell ref="A1:F1"/>
    <mergeCell ref="B50:G50"/>
    <mergeCell ref="B51:G51"/>
    <mergeCell ref="B52:G52"/>
    <mergeCell ref="E8:G8"/>
    <mergeCell ref="E15:H15"/>
    <mergeCell ref="E16:H16"/>
    <mergeCell ref="A35:E35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79"/>
  <sheetViews>
    <sheetView workbookViewId="0">
      <selection activeCell="B13" sqref="B13"/>
    </sheetView>
  </sheetViews>
  <sheetFormatPr defaultRowHeight="15" x14ac:dyDescent="0.25"/>
  <cols>
    <col min="1" max="1" width="32.28515625" bestFit="1" customWidth="1"/>
    <col min="2" max="2" width="11.28515625" bestFit="1" customWidth="1"/>
    <col min="3" max="3" width="17" bestFit="1" customWidth="1"/>
    <col min="4" max="4" width="10.5703125" bestFit="1" customWidth="1"/>
    <col min="5" max="5" width="25.42578125" customWidth="1"/>
    <col min="8" max="8" width="9.85546875" customWidth="1"/>
    <col min="9" max="9" width="9.5703125" bestFit="1" customWidth="1"/>
  </cols>
  <sheetData>
    <row r="1" spans="1:15" x14ac:dyDescent="0.25">
      <c r="A1" s="93" t="s">
        <v>7</v>
      </c>
      <c r="B1" s="93"/>
      <c r="C1" s="93"/>
      <c r="D1" s="93"/>
      <c r="E1" s="93"/>
      <c r="F1" s="93"/>
    </row>
    <row r="2" spans="1:15" x14ac:dyDescent="0.25">
      <c r="A2" s="62" t="s">
        <v>145</v>
      </c>
      <c r="B2" s="65"/>
      <c r="C2" s="65"/>
      <c r="D2" s="65"/>
      <c r="E2" s="65"/>
      <c r="F2" s="65"/>
    </row>
    <row r="3" spans="1:15" x14ac:dyDescent="0.25">
      <c r="A3" s="73"/>
      <c r="B3" s="39" t="s">
        <v>156</v>
      </c>
      <c r="C3" s="74"/>
      <c r="D3" s="65">
        <v>24</v>
      </c>
      <c r="E3" s="62"/>
      <c r="F3" s="62"/>
    </row>
    <row r="4" spans="1:15" x14ac:dyDescent="0.25">
      <c r="A4" s="62"/>
      <c r="B4" s="39" t="s">
        <v>77</v>
      </c>
      <c r="C4" s="62"/>
      <c r="D4" s="62">
        <v>146.4</v>
      </c>
      <c r="E4" s="62"/>
      <c r="F4" s="62"/>
    </row>
    <row r="5" spans="1:15" x14ac:dyDescent="0.25">
      <c r="A5" s="62"/>
      <c r="B5" s="39" t="s">
        <v>78</v>
      </c>
      <c r="C5" s="62"/>
      <c r="D5" s="62">
        <v>20</v>
      </c>
      <c r="E5" s="62"/>
      <c r="F5" s="62"/>
    </row>
    <row r="6" spans="1:15" x14ac:dyDescent="0.25">
      <c r="A6" s="9" t="s">
        <v>143</v>
      </c>
      <c r="B6" t="s">
        <v>23</v>
      </c>
      <c r="D6">
        <f>D4*D5</f>
        <v>2928</v>
      </c>
    </row>
    <row r="7" spans="1:15" x14ac:dyDescent="0.25">
      <c r="B7" t="s">
        <v>110</v>
      </c>
      <c r="D7">
        <f>D6*10</f>
        <v>29280</v>
      </c>
    </row>
    <row r="8" spans="1:15" x14ac:dyDescent="0.25">
      <c r="A8" s="62" t="s">
        <v>9</v>
      </c>
      <c r="B8" s="6">
        <v>233300</v>
      </c>
      <c r="C8" s="62"/>
      <c r="D8" s="62"/>
      <c r="E8" s="104" t="s">
        <v>104</v>
      </c>
      <c r="F8" s="104"/>
      <c r="G8" s="104"/>
      <c r="H8" s="104"/>
    </row>
    <row r="9" spans="1:15" x14ac:dyDescent="0.25">
      <c r="A9" s="62" t="s">
        <v>124</v>
      </c>
      <c r="B9" s="6">
        <f>B8*30%</f>
        <v>69990</v>
      </c>
      <c r="C9" s="62"/>
      <c r="D9" s="62"/>
      <c r="E9" s="39" t="s">
        <v>91</v>
      </c>
      <c r="F9" s="62"/>
    </row>
    <row r="10" spans="1:15" x14ac:dyDescent="0.25">
      <c r="A10" s="62" t="s">
        <v>10</v>
      </c>
      <c r="B10" s="6">
        <f>B8-B9</f>
        <v>163310</v>
      </c>
      <c r="C10" s="62"/>
      <c r="D10" s="62"/>
      <c r="E10" s="62"/>
      <c r="F10" s="62"/>
      <c r="J10" s="101" t="s">
        <v>158</v>
      </c>
      <c r="K10" s="101"/>
      <c r="L10" s="101" t="s">
        <v>159</v>
      </c>
      <c r="M10" s="101"/>
      <c r="N10" s="101" t="s">
        <v>160</v>
      </c>
      <c r="O10" s="101"/>
    </row>
    <row r="11" spans="1:15" x14ac:dyDescent="0.25">
      <c r="A11" s="62" t="s">
        <v>11</v>
      </c>
      <c r="B11" s="6">
        <v>60</v>
      </c>
      <c r="C11" s="6">
        <f>B10/B11</f>
        <v>2721.8333333333335</v>
      </c>
      <c r="D11" s="62"/>
      <c r="E11" s="39" t="s">
        <v>90</v>
      </c>
      <c r="F11" s="62"/>
      <c r="J11" s="102">
        <f>D4*D32</f>
        <v>1409.3225239184414</v>
      </c>
      <c r="K11" s="101"/>
      <c r="L11" s="102">
        <f>J11*24</f>
        <v>33823.740574042597</v>
      </c>
      <c r="M11" s="101"/>
      <c r="N11" s="102">
        <f>J11*200</f>
        <v>281864.50478368829</v>
      </c>
      <c r="O11" s="101"/>
    </row>
    <row r="12" spans="1:15" x14ac:dyDescent="0.25">
      <c r="A12" s="62" t="s">
        <v>13</v>
      </c>
      <c r="B12" s="14">
        <v>0.14000000000000001</v>
      </c>
      <c r="C12" s="7">
        <f>B8*B12/12</f>
        <v>2721.8333333333335</v>
      </c>
      <c r="D12" s="62"/>
      <c r="E12" s="39" t="s">
        <v>105</v>
      </c>
      <c r="F12" s="62"/>
    </row>
    <row r="14" spans="1:15" x14ac:dyDescent="0.25">
      <c r="A14" s="1" t="s">
        <v>0</v>
      </c>
      <c r="B14" s="1" t="s">
        <v>8</v>
      </c>
      <c r="C14" s="1" t="s">
        <v>21</v>
      </c>
      <c r="D14" s="1" t="s">
        <v>1</v>
      </c>
    </row>
    <row r="15" spans="1:15" x14ac:dyDescent="0.25">
      <c r="A15" s="2" t="s">
        <v>2</v>
      </c>
      <c r="B15" s="2">
        <v>6.28</v>
      </c>
      <c r="C15" s="2">
        <v>3.5</v>
      </c>
      <c r="D15" s="3">
        <f t="shared" ref="D15:D24" si="0">B15/C15</f>
        <v>1.7942857142857143</v>
      </c>
      <c r="E15" s="60" t="s">
        <v>84</v>
      </c>
    </row>
    <row r="16" spans="1:15" x14ac:dyDescent="0.25">
      <c r="A16" s="2" t="s">
        <v>6</v>
      </c>
      <c r="B16" s="3">
        <v>600</v>
      </c>
      <c r="C16" s="2">
        <f>D6</f>
        <v>2928</v>
      </c>
      <c r="D16" s="3">
        <f t="shared" si="0"/>
        <v>0.20491803278688525</v>
      </c>
      <c r="E16" s="61" t="s">
        <v>96</v>
      </c>
    </row>
    <row r="17" spans="1:5" x14ac:dyDescent="0.25">
      <c r="A17" s="2" t="s">
        <v>20</v>
      </c>
      <c r="B17" s="3"/>
      <c r="C17" s="2">
        <f>C16*12</f>
        <v>35136</v>
      </c>
      <c r="D17" s="3">
        <f t="shared" si="0"/>
        <v>0</v>
      </c>
    </row>
    <row r="18" spans="1:5" x14ac:dyDescent="0.25">
      <c r="A18" s="2" t="s">
        <v>3</v>
      </c>
      <c r="B18" s="3">
        <v>700</v>
      </c>
      <c r="C18" s="2">
        <f>C16</f>
        <v>2928</v>
      </c>
      <c r="D18" s="3">
        <f t="shared" si="0"/>
        <v>0.23907103825136611</v>
      </c>
      <c r="E18" t="s">
        <v>85</v>
      </c>
    </row>
    <row r="19" spans="1:5" x14ac:dyDescent="0.25">
      <c r="A19" s="2" t="s">
        <v>114</v>
      </c>
      <c r="B19" s="3">
        <v>12105</v>
      </c>
      <c r="C19" s="2">
        <v>60000</v>
      </c>
      <c r="D19" s="3">
        <f t="shared" si="0"/>
        <v>0.20175000000000001</v>
      </c>
      <c r="E19" t="s">
        <v>92</v>
      </c>
    </row>
    <row r="20" spans="1:5" x14ac:dyDescent="0.25">
      <c r="A20" s="2" t="s">
        <v>109</v>
      </c>
      <c r="B20" s="3">
        <v>63.4</v>
      </c>
      <c r="C20" s="2">
        <f>C21</f>
        <v>2928</v>
      </c>
      <c r="D20" s="3">
        <f>B20/C20</f>
        <v>2.1653005464480873E-2</v>
      </c>
      <c r="E20" t="s">
        <v>108</v>
      </c>
    </row>
    <row r="21" spans="1:5" x14ac:dyDescent="0.25">
      <c r="A21" s="2" t="s">
        <v>26</v>
      </c>
      <c r="B21" s="3">
        <v>250</v>
      </c>
      <c r="C21" s="2">
        <f>C18</f>
        <v>2928</v>
      </c>
      <c r="D21" s="3">
        <f t="shared" si="0"/>
        <v>8.5382513661202183E-2</v>
      </c>
      <c r="E21" t="s">
        <v>97</v>
      </c>
    </row>
    <row r="22" spans="1:5" x14ac:dyDescent="0.25">
      <c r="A22" s="2" t="s">
        <v>4</v>
      </c>
      <c r="B22" s="3">
        <f>I62</f>
        <v>9122.6464646464647</v>
      </c>
      <c r="C22" s="2">
        <f>C18</f>
        <v>2928</v>
      </c>
      <c r="D22" s="3">
        <f t="shared" si="0"/>
        <v>3.1156579455759785</v>
      </c>
      <c r="E22" t="s">
        <v>86</v>
      </c>
    </row>
    <row r="23" spans="1:5" x14ac:dyDescent="0.25">
      <c r="A23" s="2" t="s">
        <v>12</v>
      </c>
      <c r="B23" s="3">
        <f>C11</f>
        <v>2721.8333333333335</v>
      </c>
      <c r="C23" s="2">
        <f>C22</f>
        <v>2928</v>
      </c>
      <c r="D23" s="3">
        <f t="shared" si="0"/>
        <v>0.92958788706739537</v>
      </c>
      <c r="E23" t="s">
        <v>89</v>
      </c>
    </row>
    <row r="24" spans="1:5" x14ac:dyDescent="0.25">
      <c r="A24" s="2" t="s">
        <v>14</v>
      </c>
      <c r="B24" s="8">
        <f>C12</f>
        <v>2721.8333333333335</v>
      </c>
      <c r="C24" s="2">
        <f>C23</f>
        <v>2928</v>
      </c>
      <c r="D24" s="3">
        <f t="shared" si="0"/>
        <v>0.92958788706739537</v>
      </c>
      <c r="E24" t="s">
        <v>89</v>
      </c>
    </row>
    <row r="25" spans="1:5" x14ac:dyDescent="0.25">
      <c r="A25" s="4" t="s">
        <v>24</v>
      </c>
      <c r="B25" s="4"/>
      <c r="C25" s="4" t="s">
        <v>5</v>
      </c>
      <c r="D25" s="5">
        <f>SUM(D15:D24)</f>
        <v>7.5218940241604173</v>
      </c>
    </row>
    <row r="27" spans="1:5" x14ac:dyDescent="0.25">
      <c r="A27" s="2" t="s">
        <v>17</v>
      </c>
      <c r="B27" s="2"/>
      <c r="C27" s="10">
        <v>0.1</v>
      </c>
      <c r="D27" s="8">
        <f>D25*C27</f>
        <v>0.75218940241604182</v>
      </c>
      <c r="E27" t="s">
        <v>88</v>
      </c>
    </row>
    <row r="28" spans="1:5" x14ac:dyDescent="0.25">
      <c r="A28" s="2" t="s">
        <v>18</v>
      </c>
      <c r="B28" s="2"/>
      <c r="C28" s="10">
        <v>0.1</v>
      </c>
      <c r="D28" s="8">
        <f>D25*C28</f>
        <v>0.75218940241604182</v>
      </c>
      <c r="E28" t="s">
        <v>88</v>
      </c>
    </row>
    <row r="29" spans="1:5" x14ac:dyDescent="0.25">
      <c r="A29" s="11" t="s">
        <v>15</v>
      </c>
      <c r="B29" s="11"/>
      <c r="C29" s="11"/>
      <c r="D29" s="12">
        <f>D28+D27+D25</f>
        <v>9.0262728289925001</v>
      </c>
    </row>
    <row r="30" spans="1:5" x14ac:dyDescent="0.25">
      <c r="A30" s="2" t="s">
        <v>16</v>
      </c>
      <c r="B30" s="2"/>
      <c r="C30" s="13">
        <v>6.6500000000000004E-2</v>
      </c>
      <c r="D30" s="8">
        <f>D29*C30</f>
        <v>0.60024714312800131</v>
      </c>
      <c r="E30" t="s">
        <v>87</v>
      </c>
    </row>
    <row r="31" spans="1:5" x14ac:dyDescent="0.25">
      <c r="A31" s="2" t="s">
        <v>19</v>
      </c>
      <c r="B31" s="2"/>
      <c r="C31" s="10"/>
      <c r="D31" s="8"/>
    </row>
    <row r="32" spans="1:5" x14ac:dyDescent="0.25">
      <c r="A32" s="11" t="s">
        <v>25</v>
      </c>
      <c r="B32" s="11"/>
      <c r="C32" s="11"/>
      <c r="D32" s="12">
        <f>D29+D30</f>
        <v>9.6265199721205015</v>
      </c>
    </row>
    <row r="33" spans="1:9" x14ac:dyDescent="0.25">
      <c r="A33" s="15" t="s">
        <v>27</v>
      </c>
      <c r="B33" s="2"/>
      <c r="C33" s="2">
        <f>D6</f>
        <v>2928</v>
      </c>
      <c r="D33" s="8">
        <f>D32*C33</f>
        <v>28186.450478368828</v>
      </c>
    </row>
    <row r="35" spans="1:9" ht="50.25" customHeight="1" x14ac:dyDescent="0.25">
      <c r="A35" s="100" t="s">
        <v>152</v>
      </c>
      <c r="B35" s="100"/>
      <c r="C35" s="100"/>
      <c r="D35" s="100"/>
      <c r="E35" s="100"/>
    </row>
    <row r="36" spans="1:9" x14ac:dyDescent="0.25">
      <c r="A36" s="9" t="s">
        <v>62</v>
      </c>
      <c r="C36" s="72" t="s">
        <v>153</v>
      </c>
      <c r="D36" s="16"/>
      <c r="E36" s="72" t="s">
        <v>154</v>
      </c>
    </row>
    <row r="37" spans="1:9" x14ac:dyDescent="0.25">
      <c r="A37" s="11" t="s">
        <v>79</v>
      </c>
      <c r="B37" s="2"/>
      <c r="C37" s="3">
        <v>2448.1</v>
      </c>
      <c r="D37" s="8">
        <v>220</v>
      </c>
      <c r="E37" s="2">
        <v>1789.04</v>
      </c>
    </row>
    <row r="38" spans="1:9" x14ac:dyDescent="0.25">
      <c r="A38" s="2" t="s">
        <v>80</v>
      </c>
      <c r="B38" s="2"/>
      <c r="C38" s="3">
        <f>C37/D37*200</f>
        <v>2225.5454545454545</v>
      </c>
      <c r="D38" s="8"/>
      <c r="E38" s="70">
        <f>E37/D37*200</f>
        <v>1626.3999999999999</v>
      </c>
    </row>
    <row r="39" spans="1:9" x14ac:dyDescent="0.25">
      <c r="A39" s="2" t="s">
        <v>52</v>
      </c>
      <c r="B39" s="10">
        <v>0.2</v>
      </c>
      <c r="C39" s="8">
        <f>C38*B39</f>
        <v>445.10909090909092</v>
      </c>
      <c r="D39" s="2"/>
      <c r="E39" s="70">
        <f>E38*B39</f>
        <v>325.27999999999997</v>
      </c>
    </row>
    <row r="40" spans="1:9" x14ac:dyDescent="0.25">
      <c r="A40" s="31" t="s">
        <v>60</v>
      </c>
      <c r="B40" s="10"/>
      <c r="C40" s="8"/>
      <c r="D40" s="12">
        <f>C39+C38</f>
        <v>2670.6545454545453</v>
      </c>
      <c r="E40" s="71">
        <f>SUM(E38:E39)</f>
        <v>1951.6799999999998</v>
      </c>
    </row>
    <row r="41" spans="1:9" x14ac:dyDescent="0.25">
      <c r="A41" s="2" t="s">
        <v>53</v>
      </c>
      <c r="B41" s="2">
        <v>20</v>
      </c>
      <c r="C41" s="3">
        <v>9.4</v>
      </c>
      <c r="D41" s="3">
        <f>C41*B41</f>
        <v>188</v>
      </c>
      <c r="E41" s="8">
        <f>D41</f>
        <v>188</v>
      </c>
    </row>
    <row r="42" spans="1:9" x14ac:dyDescent="0.25">
      <c r="A42" s="2" t="s">
        <v>54</v>
      </c>
      <c r="B42" s="2">
        <v>1</v>
      </c>
      <c r="C42" s="3">
        <v>740</v>
      </c>
      <c r="D42" s="3">
        <f>B42*C42</f>
        <v>740</v>
      </c>
      <c r="E42" s="8">
        <f>D42</f>
        <v>740</v>
      </c>
    </row>
    <row r="43" spans="1:9" x14ac:dyDescent="0.25">
      <c r="A43" s="2" t="s">
        <v>81</v>
      </c>
      <c r="B43" s="2"/>
      <c r="C43" s="64">
        <v>5.0700000000000002E-2</v>
      </c>
      <c r="D43" s="3">
        <f>-D42*C43</f>
        <v>-37.518000000000001</v>
      </c>
      <c r="E43" s="70">
        <f>E42*C43</f>
        <v>37.518000000000001</v>
      </c>
    </row>
    <row r="44" spans="1:9" x14ac:dyDescent="0.25">
      <c r="A44" s="2" t="s">
        <v>82</v>
      </c>
      <c r="B44" s="2"/>
      <c r="C44" s="64">
        <v>0.06</v>
      </c>
      <c r="D44" s="3">
        <f>-C38*C44</f>
        <v>-133.53272727272727</v>
      </c>
      <c r="E44" s="8">
        <f>E38*C44</f>
        <v>97.583999999999989</v>
      </c>
    </row>
    <row r="45" spans="1:9" x14ac:dyDescent="0.25">
      <c r="A45" s="11" t="s">
        <v>55</v>
      </c>
      <c r="B45" s="11"/>
      <c r="C45" s="11"/>
      <c r="D45" s="12">
        <f>SUM(D40:D44)</f>
        <v>3427.603818181818</v>
      </c>
      <c r="E45" s="12">
        <f>SUM(E40:E44)</f>
        <v>3014.7819999999997</v>
      </c>
    </row>
    <row r="46" spans="1:9" x14ac:dyDescent="0.25">
      <c r="A46" s="2" t="s">
        <v>56</v>
      </c>
      <c r="B46" s="2"/>
      <c r="C46" s="2"/>
      <c r="D46" s="8">
        <f>D45/12</f>
        <v>285.63365151515148</v>
      </c>
      <c r="E46" s="8">
        <f>E45/12</f>
        <v>251.2318333333333</v>
      </c>
    </row>
    <row r="47" spans="1:9" x14ac:dyDescent="0.25">
      <c r="A47" s="2" t="s">
        <v>57</v>
      </c>
      <c r="B47" s="2"/>
      <c r="C47" s="2"/>
      <c r="D47" s="3">
        <f>(D45/3)/12</f>
        <v>95.211217171717166</v>
      </c>
      <c r="E47" s="3">
        <f>(E45/3)/12</f>
        <v>83.743944444444438</v>
      </c>
    </row>
    <row r="48" spans="1:9" x14ac:dyDescent="0.25">
      <c r="A48" s="11" t="s">
        <v>58</v>
      </c>
      <c r="B48" s="11"/>
      <c r="C48" s="11"/>
      <c r="D48" s="30">
        <f>D47+D46+D45</f>
        <v>3808.4486868686868</v>
      </c>
      <c r="E48" s="30">
        <f>E47+E46+E45</f>
        <v>3349.7577777777774</v>
      </c>
      <c r="F48" s="9" t="s">
        <v>59</v>
      </c>
      <c r="G48" s="9"/>
      <c r="H48" s="9"/>
      <c r="I48" s="29">
        <f>D40+D46+D47+E40+E46+E47</f>
        <v>5338.1551919191916</v>
      </c>
    </row>
    <row r="50" spans="1:9" ht="30" x14ac:dyDescent="0.25">
      <c r="A50" s="17" t="s">
        <v>29</v>
      </c>
      <c r="B50" s="94" t="s">
        <v>30</v>
      </c>
      <c r="C50" s="95"/>
      <c r="D50" s="95"/>
      <c r="E50" s="95"/>
      <c r="F50" s="95"/>
      <c r="G50" s="96"/>
      <c r="H50" s="18" t="s">
        <v>31</v>
      </c>
      <c r="I50" s="18" t="s">
        <v>32</v>
      </c>
    </row>
    <row r="51" spans="1:9" x14ac:dyDescent="0.25">
      <c r="A51" s="19" t="s">
        <v>33</v>
      </c>
      <c r="B51" s="82" t="s">
        <v>34</v>
      </c>
      <c r="C51" s="83"/>
      <c r="D51" s="83"/>
      <c r="E51" s="83"/>
      <c r="F51" s="83"/>
      <c r="G51" s="84"/>
      <c r="H51" s="20">
        <v>0.2</v>
      </c>
      <c r="I51" s="21">
        <f>$I$48*H51</f>
        <v>1067.6310383838384</v>
      </c>
    </row>
    <row r="52" spans="1:9" x14ac:dyDescent="0.25">
      <c r="A52" s="19" t="s">
        <v>35</v>
      </c>
      <c r="B52" s="82" t="s">
        <v>36</v>
      </c>
      <c r="C52" s="83"/>
      <c r="D52" s="83"/>
      <c r="E52" s="83"/>
      <c r="F52" s="83"/>
      <c r="G52" s="84"/>
      <c r="H52" s="20">
        <v>1.4999999999999999E-2</v>
      </c>
      <c r="I52" s="21">
        <f t="shared" ref="I52:I58" si="1">$I$48*H52</f>
        <v>80.072327878787874</v>
      </c>
    </row>
    <row r="53" spans="1:9" x14ac:dyDescent="0.25">
      <c r="A53" s="19" t="s">
        <v>37</v>
      </c>
      <c r="B53" s="82" t="s">
        <v>38</v>
      </c>
      <c r="C53" s="83"/>
      <c r="D53" s="83"/>
      <c r="E53" s="83"/>
      <c r="F53" s="83"/>
      <c r="G53" s="84"/>
      <c r="H53" s="20">
        <v>0.01</v>
      </c>
      <c r="I53" s="21">
        <f t="shared" si="1"/>
        <v>53.381551919191914</v>
      </c>
    </row>
    <row r="54" spans="1:9" x14ac:dyDescent="0.25">
      <c r="A54" s="19" t="s">
        <v>39</v>
      </c>
      <c r="B54" s="82" t="s">
        <v>40</v>
      </c>
      <c r="C54" s="83"/>
      <c r="D54" s="83"/>
      <c r="E54" s="83"/>
      <c r="F54" s="83"/>
      <c r="G54" s="84"/>
      <c r="H54" s="20">
        <v>2E-3</v>
      </c>
      <c r="I54" s="21">
        <f t="shared" si="1"/>
        <v>10.676310383838384</v>
      </c>
    </row>
    <row r="55" spans="1:9" x14ac:dyDescent="0.25">
      <c r="A55" s="19" t="s">
        <v>41</v>
      </c>
      <c r="B55" s="85" t="s">
        <v>42</v>
      </c>
      <c r="C55" s="86"/>
      <c r="D55" s="86"/>
      <c r="E55" s="86"/>
      <c r="F55" s="86"/>
      <c r="G55" s="87"/>
      <c r="H55" s="20">
        <v>2.5000000000000001E-2</v>
      </c>
      <c r="I55" s="21">
        <f t="shared" si="1"/>
        <v>133.45387979797979</v>
      </c>
    </row>
    <row r="56" spans="1:9" x14ac:dyDescent="0.25">
      <c r="A56" s="19" t="s">
        <v>43</v>
      </c>
      <c r="B56" s="85" t="s">
        <v>44</v>
      </c>
      <c r="C56" s="86"/>
      <c r="D56" s="86"/>
      <c r="E56" s="86"/>
      <c r="F56" s="86"/>
      <c r="G56" s="87"/>
      <c r="H56" s="22">
        <v>0.08</v>
      </c>
      <c r="I56" s="21">
        <f t="shared" si="1"/>
        <v>427.05241535353531</v>
      </c>
    </row>
    <row r="57" spans="1:9" x14ac:dyDescent="0.25">
      <c r="A57" s="19" t="s">
        <v>45</v>
      </c>
      <c r="B57" s="88" t="s">
        <v>46</v>
      </c>
      <c r="C57" s="89"/>
      <c r="D57" s="23" t="s">
        <v>47</v>
      </c>
      <c r="E57" s="24">
        <v>0.03</v>
      </c>
      <c r="F57" s="23" t="s">
        <v>48</v>
      </c>
      <c r="G57" s="25">
        <v>1</v>
      </c>
      <c r="H57" s="26">
        <f>ROUND((E57*G57),6)</f>
        <v>0.03</v>
      </c>
      <c r="I57" s="21">
        <f t="shared" si="1"/>
        <v>160.14465575757575</v>
      </c>
    </row>
    <row r="58" spans="1:9" x14ac:dyDescent="0.25">
      <c r="A58" s="19" t="s">
        <v>49</v>
      </c>
      <c r="B58" s="85" t="s">
        <v>50</v>
      </c>
      <c r="C58" s="86"/>
      <c r="D58" s="86"/>
      <c r="E58" s="86"/>
      <c r="F58" s="86"/>
      <c r="G58" s="87"/>
      <c r="H58" s="20">
        <v>6.0000000000000001E-3</v>
      </c>
      <c r="I58" s="21">
        <f t="shared" si="1"/>
        <v>32.028931151515152</v>
      </c>
    </row>
    <row r="59" spans="1:9" x14ac:dyDescent="0.25">
      <c r="A59" s="90" t="s">
        <v>51</v>
      </c>
      <c r="B59" s="91"/>
      <c r="C59" s="91"/>
      <c r="D59" s="91"/>
      <c r="E59" s="91"/>
      <c r="F59" s="91"/>
      <c r="G59" s="92"/>
      <c r="H59" s="27">
        <f>SUM(H51:H58)</f>
        <v>0.3680000000000001</v>
      </c>
      <c r="I59" s="28">
        <f>TRUNC(SUM(I51:I58),2)</f>
        <v>1964.44</v>
      </c>
    </row>
    <row r="61" spans="1:9" x14ac:dyDescent="0.25">
      <c r="A61" s="32" t="s">
        <v>63</v>
      </c>
      <c r="B61" s="2"/>
      <c r="C61" s="2"/>
      <c r="D61" s="2"/>
      <c r="E61" s="2"/>
      <c r="F61" s="2"/>
      <c r="G61" s="2"/>
      <c r="H61" s="2"/>
      <c r="I61" s="12">
        <f>D48+I59+E48</f>
        <v>9122.6464646464647</v>
      </c>
    </row>
    <row r="62" spans="1:9" x14ac:dyDescent="0.25">
      <c r="A62" s="33" t="s">
        <v>61</v>
      </c>
      <c r="B62" s="2"/>
      <c r="C62" s="2"/>
      <c r="D62" s="2"/>
      <c r="E62" s="2"/>
      <c r="F62" s="2"/>
      <c r="G62" s="2"/>
      <c r="H62" s="10">
        <v>1</v>
      </c>
      <c r="I62" s="12">
        <f>I61*H62</f>
        <v>9122.6464646464647</v>
      </c>
    </row>
    <row r="66" spans="1:1" x14ac:dyDescent="0.25">
      <c r="A66" s="34" t="s">
        <v>64</v>
      </c>
    </row>
    <row r="67" spans="1:1" x14ac:dyDescent="0.25">
      <c r="A67" s="35" t="s">
        <v>65</v>
      </c>
    </row>
    <row r="68" spans="1:1" x14ac:dyDescent="0.25">
      <c r="A68" s="35" t="s">
        <v>66</v>
      </c>
    </row>
    <row r="69" spans="1:1" x14ac:dyDescent="0.25">
      <c r="A69" s="35" t="s">
        <v>67</v>
      </c>
    </row>
    <row r="70" spans="1:1" x14ac:dyDescent="0.25">
      <c r="A70" s="35" t="s">
        <v>68</v>
      </c>
    </row>
    <row r="71" spans="1:1" x14ac:dyDescent="0.25">
      <c r="A71" s="35"/>
    </row>
    <row r="72" spans="1:1" x14ac:dyDescent="0.25">
      <c r="A72" s="35"/>
    </row>
    <row r="73" spans="1:1" x14ac:dyDescent="0.25">
      <c r="A73" s="35"/>
    </row>
    <row r="74" spans="1:1" x14ac:dyDescent="0.25">
      <c r="A74" s="36" t="s">
        <v>69</v>
      </c>
    </row>
    <row r="75" spans="1:1" x14ac:dyDescent="0.25">
      <c r="A75" s="37" t="s">
        <v>70</v>
      </c>
    </row>
    <row r="76" spans="1:1" x14ac:dyDescent="0.25">
      <c r="A76" s="37" t="s">
        <v>71</v>
      </c>
    </row>
    <row r="77" spans="1:1" x14ac:dyDescent="0.25">
      <c r="A77" s="37" t="s">
        <v>72</v>
      </c>
    </row>
    <row r="78" spans="1:1" x14ac:dyDescent="0.25">
      <c r="A78" s="37" t="s">
        <v>73</v>
      </c>
    </row>
    <row r="79" spans="1:1" x14ac:dyDescent="0.25">
      <c r="A79" s="37" t="s">
        <v>74</v>
      </c>
    </row>
    <row r="80" spans="1:1" x14ac:dyDescent="0.25">
      <c r="A80" s="37" t="s">
        <v>75</v>
      </c>
    </row>
    <row r="81" spans="1:1" x14ac:dyDescent="0.25">
      <c r="A81" s="38" t="s">
        <v>76</v>
      </c>
    </row>
    <row r="84" spans="1:1" x14ac:dyDescent="0.25">
      <c r="A84" s="42" t="s">
        <v>98</v>
      </c>
    </row>
    <row r="85" spans="1:1" x14ac:dyDescent="0.25">
      <c r="A85" s="37" t="s">
        <v>99</v>
      </c>
    </row>
    <row r="86" spans="1:1" x14ac:dyDescent="0.25">
      <c r="A86" s="37" t="s">
        <v>100</v>
      </c>
    </row>
    <row r="87" spans="1:1" x14ac:dyDescent="0.25">
      <c r="A87" s="37" t="s">
        <v>101</v>
      </c>
    </row>
    <row r="88" spans="1:1" x14ac:dyDescent="0.25">
      <c r="A88" s="37" t="s">
        <v>102</v>
      </c>
    </row>
    <row r="89" spans="1:1" x14ac:dyDescent="0.25">
      <c r="A89" s="37" t="s">
        <v>103</v>
      </c>
    </row>
    <row r="90" spans="1:1" x14ac:dyDescent="0.25">
      <c r="A90" s="37"/>
    </row>
    <row r="91" spans="1:1" x14ac:dyDescent="0.25">
      <c r="A91" s="37" t="s">
        <v>161</v>
      </c>
    </row>
    <row r="113" spans="1:6" x14ac:dyDescent="0.25">
      <c r="E113" s="57">
        <f>C113*6</f>
        <v>0</v>
      </c>
    </row>
    <row r="114" spans="1:6" x14ac:dyDescent="0.25">
      <c r="A114" s="103" t="s">
        <v>129</v>
      </c>
      <c r="B114" s="103"/>
      <c r="C114" s="103"/>
      <c r="D114" s="103"/>
      <c r="E114" s="103"/>
      <c r="F114" s="103"/>
    </row>
    <row r="130" spans="1:1" x14ac:dyDescent="0.25">
      <c r="A130" t="s">
        <v>94</v>
      </c>
    </row>
    <row r="131" spans="1:1" x14ac:dyDescent="0.25">
      <c r="A131" t="s">
        <v>95</v>
      </c>
    </row>
    <row r="149" spans="1:4" ht="78" customHeight="1" x14ac:dyDescent="0.25">
      <c r="A149" s="79" t="s">
        <v>141</v>
      </c>
      <c r="B149" s="80"/>
      <c r="C149" s="80"/>
      <c r="D149" s="81"/>
    </row>
    <row r="150" spans="1:4" x14ac:dyDescent="0.25">
      <c r="A150" s="46"/>
      <c r="B150" s="47"/>
      <c r="C150" s="47"/>
      <c r="D150" s="49"/>
    </row>
    <row r="151" spans="1:4" x14ac:dyDescent="0.25">
      <c r="A151" s="46"/>
      <c r="B151" s="47"/>
      <c r="C151" s="47"/>
      <c r="D151" s="49"/>
    </row>
    <row r="152" spans="1:4" x14ac:dyDescent="0.25">
      <c r="A152" s="46"/>
      <c r="B152" s="47"/>
      <c r="C152" s="47"/>
      <c r="D152" s="49"/>
    </row>
    <row r="153" spans="1:4" x14ac:dyDescent="0.25">
      <c r="A153" s="50" t="s">
        <v>142</v>
      </c>
      <c r="B153" s="51"/>
      <c r="C153" s="51"/>
      <c r="D153" s="52"/>
    </row>
    <row r="155" spans="1:4" x14ac:dyDescent="0.25">
      <c r="C155" s="56"/>
    </row>
    <row r="156" spans="1:4" x14ac:dyDescent="0.25">
      <c r="C156" s="56"/>
    </row>
    <row r="157" spans="1:4" x14ac:dyDescent="0.25">
      <c r="C157" s="56"/>
    </row>
    <row r="179" spans="1:1" x14ac:dyDescent="0.25">
      <c r="A179" t="s">
        <v>106</v>
      </c>
    </row>
  </sheetData>
  <mergeCells count="21">
    <mergeCell ref="J10:K10"/>
    <mergeCell ref="L10:M10"/>
    <mergeCell ref="N10:O10"/>
    <mergeCell ref="J11:K11"/>
    <mergeCell ref="L11:M11"/>
    <mergeCell ref="N11:O11"/>
    <mergeCell ref="A59:G59"/>
    <mergeCell ref="A114:F114"/>
    <mergeCell ref="A149:D149"/>
    <mergeCell ref="B53:G53"/>
    <mergeCell ref="B54:G54"/>
    <mergeCell ref="B55:G55"/>
    <mergeCell ref="B56:G56"/>
    <mergeCell ref="B57:C57"/>
    <mergeCell ref="B58:G58"/>
    <mergeCell ref="B52:G52"/>
    <mergeCell ref="A35:E35"/>
    <mergeCell ref="A1:F1"/>
    <mergeCell ref="E8:H8"/>
    <mergeCell ref="B50:G50"/>
    <mergeCell ref="B51:G51"/>
  </mergeCells>
  <pageMargins left="0.511811024" right="0.511811024" top="0.78740157499999996" bottom="0.78740157499999996" header="0.31496062000000002" footer="0.31496062000000002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1 van 12 lugar</vt:lpstr>
      <vt:lpstr>2 ônibus 48 lugar</vt:lpstr>
      <vt:lpstr>3 onibus 40 lugar</vt:lpstr>
      <vt:lpstr>4 onibus 40 lug</vt:lpstr>
      <vt:lpstr>5 18 lugar</vt:lpstr>
      <vt:lpstr>6 van 24 lug</vt:lpstr>
      <vt:lpstr>7 micro 30lug</vt:lpstr>
      <vt:lpstr>8 van 21</vt:lpstr>
      <vt:lpstr>9 micro 30</vt:lpstr>
      <vt:lpstr>10 van 24</vt:lpstr>
      <vt:lpstr>11 van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Cezar</dc:creator>
  <cp:lastModifiedBy>Gabriel</cp:lastModifiedBy>
  <cp:lastPrinted>2024-08-28T14:04:08Z</cp:lastPrinted>
  <dcterms:created xsi:type="dcterms:W3CDTF">2019-11-18T12:02:57Z</dcterms:created>
  <dcterms:modified xsi:type="dcterms:W3CDTF">2026-09-08T12:57:41Z</dcterms:modified>
</cp:coreProperties>
</file>