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Área de Trabalho\"/>
    </mc:Choice>
  </mc:AlternateContent>
  <xr:revisionPtr revIDLastSave="0" documentId="8_{BC514BB5-6D80-4DF1-A452-DAAD4CAB23E2}" xr6:coauthVersionLast="47" xr6:coauthVersionMax="47" xr10:uidLastSave="{00000000-0000-0000-0000-000000000000}"/>
  <bookViews>
    <workbookView xWindow="-120" yWindow="-120" windowWidth="20730" windowHeight="11040" xr2:uid="{6D0017DC-6F2F-4453-8CCB-6BE90FC67F76}"/>
  </bookViews>
  <sheets>
    <sheet name="PO-BM" sheetId="1" r:id="rId1"/>
    <sheet name="CFF-BM" sheetId="2" r:id="rId2"/>
  </sheets>
  <externalReferences>
    <externalReference r:id="rId3"/>
  </externalReferences>
  <definedNames>
    <definedName name="ACOMPANHAMENTO" hidden="1">[1]MENU!$J$4</definedName>
    <definedName name="AdmLocal" hidden="1">[1]CÁLCULO!$A$11</definedName>
    <definedName name="AUTOEVENTO" hidden="1">[1]CÁLCULO!$A$12</definedName>
    <definedName name="BDI.Opcao" hidden="1">[1]DADOS!$C$18</definedName>
    <definedName name="BDI.TipoObra" hidden="1">[1]BDI!$A$138:$A$146</definedName>
    <definedName name="BDI_1.Título" hidden="1">[1]BDI!$J$14</definedName>
    <definedName name="BDI_2.Título" hidden="1">[1]BDI!$J$54</definedName>
    <definedName name="BDI_3.Título" hidden="1">[1]BDI!$J$94</definedName>
    <definedName name="BM.AFAcumulado" hidden="1">[1]BM!$R1</definedName>
    <definedName name="BM.AFAnterior" hidden="1">[1]BM!$Q1</definedName>
    <definedName name="BM.MaxMed" hidden="1">IF(RegimeExecucao="Global",1,[1]BM!$G1)</definedName>
    <definedName name="BM.MEDAcumulado" hidden="1">IF(COUNTIF([1]BM!$AB$13:$AM$13,BM.medicao)&gt;0,SUM(OFFSET([1]BM!$AB1,0,0,1,MATCH(BM.medicao,[1]BM!$AB$13:$AM$13,0))),0)</definedName>
    <definedName name="BM.MEDAnterior" hidden="1">IF(COUNTIF([1]BM!$AB$13:$AM$13,BM.medicao-1)&gt;0,SUM(OFFSET([1]BM!$AB1,0,0,1,MATCH(BM.medicao-1,[1]BM!$AB$13:$AM$13,0))),0)</definedName>
    <definedName name="BM.medicao" hidden="1">OFFSET([1]BM!$O$7,1,0)</definedName>
    <definedName name="BM.MinMed" hidden="1">IF(RegimeExecucao="Global",-1,-[1]BM!$G1)</definedName>
    <definedName name="CAIXA.Modo" hidden="1">[1]BM!$A$3</definedName>
    <definedName name="CÁLCULO.FrentesPreenchidas" hidden="1">[1]CÁLCULO!$M$1</definedName>
    <definedName name="CÁLCULO.NúmeroDeEventos" hidden="1">IF(AUTOEVENTO&lt;&gt;"manual",MAX([1]CÁLCULO!$M$15:$M$723),MAX(OFFSET([1]EVENTOS!$C$1:$C$65,1,0)))</definedName>
    <definedName name="CÁLCULO.NúmeroDeFrentes" hidden="1">COLUMN([1]CÁLCULO!$AA$15)-COLUMN([1]CÁLCULO!$Q$15)</definedName>
    <definedName name="CÁLCULO.TotalAdmLocal" hidden="1">IF(AUTOEVENTO="manual",SUMIF([1]CÁLCULO!$M$15:$M$723,1,[1]ORÇAMENTO!$X$15:$X$723),0)</definedName>
    <definedName name="CRONO.LinhasNecessarias" hidden="1">COUNTIF([1]QCI!$B$13:$B$24,"Manual")+COUNTIF([1]QCI!$B$13:$B$24,"SemiAuto")+COUNT(ORÇAMENTO.ListaCrono)</definedName>
    <definedName name="CRONO.Lista.AdmLocal" hidden="1">[1]CRONO!$A$13:$A$299</definedName>
    <definedName name="CRONO.Lista.Níveis" hidden="1">[1]CRONO!$A$9:$A$11</definedName>
    <definedName name="CRONO.MaxParc" hidden="1">[1]CRONO!$H1048576+[1]CRONO!A1</definedName>
    <definedName name="CRONO.NivelExibicao" hidden="1">[1]CRONO!$H$10</definedName>
    <definedName name="CRONO.ParcelaFinal" hidden="1">MATCH(100%,[1]CRONO!$U$305:$AG$305,0)</definedName>
    <definedName name="CRONOPLE.Erro" hidden="1">[1]CRONOPLE!$B$6</definedName>
    <definedName name="CRONOPLE.Lista.AdmLocal" hidden="1">[1]CRONOPLE!$F$15:$F$65</definedName>
    <definedName name="CRONOPLE.ValorDoEvento" hidden="1">SUMIF([1]CÁLCULO!$M$15:$M$723,[1]CRONOPLE!$B1,OFFSET([1]CÁLCULO!$AA$15:$AA$723,0,[1]CRONOPLE!A$12))</definedName>
    <definedName name="DADOS.Lista.Arredondamento" hidden="1">[1]DADOS!$J$2:$J$3</definedName>
    <definedName name="DADOS.Lista.FonteRecursos" hidden="1">[1]DADOS!$G$2:$G$4</definedName>
    <definedName name="DADOS.Lista.RegimeExecução" hidden="1">[1]DADOS!$I$2:$I$9</definedName>
    <definedName name="DADOS.Lista.RegimePreviden" hidden="1">[1]DADOS!$H$2:$H$5</definedName>
    <definedName name="DESONERACAO" hidden="1">IF(OR(Import.Desoneracao="DESONERADO",Import.Desoneracao="SIM"),"SIM","NÃO")</definedName>
    <definedName name="EVENTOS.firstrow" hidden="1">[1]EVENTOS!$15:$15</definedName>
    <definedName name="EVENTOS.Lista" hidden="1">[1]EVENTOS!$C$15:OFFSET([1]EVENTOS!$C$65,-1,0)</definedName>
    <definedName name="EVENTOS.Lista.Agrupar" hidden="1">[1]EVENTOS!$B$6:$B$9</definedName>
    <definedName name="EVENTOS.ListaValidacao" hidden="1">[1]EVENTOS!$B$15:OFFSET([1]EVENTOS!$B$65,-1,0)</definedName>
    <definedName name="Excel_BuiltIn_Database" hidden="1">TEXT(Import.DataBase,"mm-aaaa")</definedName>
    <definedName name="Import.Apelido" hidden="1">[1]DADOS!$C$16</definedName>
    <definedName name="Import.BDI.Tipo1" hidden="1">[1]BDI!$J$17</definedName>
    <definedName name="Import.BDI.Tipo2" hidden="1">[1]BDI!$J$57</definedName>
    <definedName name="Import.BDI.Tipo3" hidden="1">[1]BDI!$J$97</definedName>
    <definedName name="Import.BMAFAcumulado" hidden="1">OFFSET([1]BM!$R$15,1,0):OFFSET([1]BM!$R$723,-1,0)</definedName>
    <definedName name="Import.CNPJ" hidden="1">[1]DADOS!$C$39</definedName>
    <definedName name="Import.Código" hidden="1">OFFSET([1]ORÇAMENTO!$Q$15,1,0):OFFSET([1]ORÇAMENTO!$Q$723,-1,0)</definedName>
    <definedName name="Import.Contrapartida" hidden="1">[1]DADOS!$C$10</definedName>
    <definedName name="Import.CPMaxPerc" hidden="1">[1]DADOS!$C$13</definedName>
    <definedName name="Import.CPMinAbsoluta" hidden="1">[1]DADOS!$C$12</definedName>
    <definedName name="Import.CPMinPerc" hidden="1">[1]DADOS!$C$11</definedName>
    <definedName name="Import.CR" hidden="1">[1]DADOS!$C$7</definedName>
    <definedName name="Import.CRONOPLE" hidden="1">OFFSET([1]CRONOPLE!$F$15,1,1):OFFSET([1]CRONOPLE!$AF$65,-1,-1)</definedName>
    <definedName name="Import.CTEF" hidden="1">[1]DADOS!$C$37</definedName>
    <definedName name="Import.CustoUnitário" hidden="1">OFFSET([1]ORÇAMENTO!$U$15,1,0):OFFSET([1]ORÇAMENTO!$U$723,-1,0)</definedName>
    <definedName name="Import.DataBase" hidden="1">OFFSET([1]DADOS!$D$19,0,-1)</definedName>
    <definedName name="Import.DataBaseLicit" hidden="1">OFFSET([1]DADOS!$D$41,0,-1)</definedName>
    <definedName name="Import.DataFechaRRE" hidden="1">[1]DADOS!$C$48</definedName>
    <definedName name="Import.DataInicioObra" hidden="1">[1]DADOS!$C$47</definedName>
    <definedName name="Import.DataPreenchimento" hidden="1">OFFSET([1]DADOS!$D$25,0,-1)</definedName>
    <definedName name="Import.DescLote" hidden="1">[1]DADOS!$C$17</definedName>
    <definedName name="Import.Descrição" hidden="1">OFFSET([1]ORÇAMENTO!$R$15,1,0):OFFSET([1]ORÇAMENTO!$R$723,-1,0)</definedName>
    <definedName name="Import.Desoneracao" hidden="1">OFFSET([1]DADOS!$D$18,0,-1)</definedName>
    <definedName name="Import.empresa" hidden="1">[1]DADOS!$C$38</definedName>
    <definedName name="Import.EventoAdmLocal" hidden="1">[1]CRONOPLE!$B$8</definedName>
    <definedName name="Import.Eventos.Nível" hidden="1">[1]EVENTOS!$C$8</definedName>
    <definedName name="Import.Eventos.Nomes" hidden="1">OFFSET([1]EVENTOS!$D$15,1,0):OFFSET([1]EVENTOS!$D$65,-1,0)</definedName>
    <definedName name="Import.Fonte" hidden="1">OFFSET([1]ORÇAMENTO!$P$15,1,0):OFFSET([1]ORÇAMENTO!$P$723,-1,0)</definedName>
    <definedName name="Import.FrenteDeObra" hidden="1">[1]CÁLCULO!$Q$12:OFFSET([1]CÁLCULO!$AA$12,0,-1)</definedName>
    <definedName name="Import.MacrosserviçoAdmLocal" hidden="1">[1]CRONO!$H$310</definedName>
    <definedName name="Import.Município" hidden="1">[1]DADOS!$C$6</definedName>
    <definedName name="Import.Nível" hidden="1">OFFSET([1]ORÇAMENTO!$M$15,1,0):OFFSET([1]ORÇAMENTO!$M$723,-1,0)</definedName>
    <definedName name="Import.Ofício.Num" hidden="1">[1]OFÍCIO!$C$6</definedName>
    <definedName name="Import.OpcaoBDI" hidden="1">OFFSET([1]ORÇAMENTO!$V$15,1,0):OFFSET([1]ORÇAMENTO!$V$723,-1,0)</definedName>
    <definedName name="Import.ORÇAMENTO.DivRecurso" hidden="1">OFFSET([1]ORÇAMENTO!$Y$15,1,0):OFFSET([1]ORÇAMENTO!$Y$723,-1,0)</definedName>
    <definedName name="Import.PLE" hidden="1">OFFSET([1]PLE!$G$15,1,1):OFFSET([1]PLE!$AG$65,-1,-1)</definedName>
    <definedName name="Import.PLQ" hidden="1">OFFSET([1]CÁLCULO!$P$15,1,1):OFFSET([1]CÁLCULO!$AA$723,-1,-1)</definedName>
    <definedName name="Import.PLQ.MemCalc" hidden="1">OFFSET([1]CÁLCULO!$I$15,1,0):OFFSET([1]CÁLCULO!$I$723,-1,0)</definedName>
    <definedName name="Import.PLQ.nAgrupEvent" hidden="1">OFFSET([1]CÁLCULO!$K$15,1,0):OFFSET([1]CÁLCULO!$K$723,-1,0)</definedName>
    <definedName name="Import.Proponente" hidden="1">[1]DADOS!$C$5</definedName>
    <definedName name="Import.QCI.Divisao" hidden="1">OFFSET([1]QCI!$V$13,1,0):OFFSET([1]QCI!$V$24,-1,0)</definedName>
    <definedName name="Import.QCI.ItemInv" hidden="1">OFFSET([1]QCI!$E$13,1,0):OFFSET([1]QCI!$E$24,-1,0)</definedName>
    <definedName name="Import.QCI.Qtde" hidden="1">OFFSET([1]QCI!$I$13,1,0):OFFSET([1]QCI!$I$24,-1,0)</definedName>
    <definedName name="Import.QCI.Situacao" hidden="1">OFFSET([1]QCI!$H$13,1,0):OFFSET([1]QCI!$H$24,-1,0)</definedName>
    <definedName name="Import.QCI.SubItemInv" hidden="1">OFFSET([1]QCI!$F$13,1,0):OFFSET([1]QCI!$F$24,-1,0)</definedName>
    <definedName name="Import.QCICP" hidden="1">OFFSET([1]QCI!$W$13,1,0):OFFSET([1]QCI!$W$24,-1,0)</definedName>
    <definedName name="Import.QCIDesc" hidden="1">OFFSET([1]QCI!$R$13,1,0):OFFSET([1]QCI!$R$24,-1,0)</definedName>
    <definedName name="Import.QCIInv" hidden="1">OFFSET([1]QCI!$U$13,1,0):OFFSET([1]QCI!$U$24,-1,0)</definedName>
    <definedName name="Import.QCILote" hidden="1">OFFSET([1]QCI!$T$13,1,0):OFFSET([1]QCI!$T$24,-1,0)</definedName>
    <definedName name="Import.QCIOutros" hidden="1">OFFSET([1]QCI!$X$13,1,0):OFFSET([1]QCI!$X$24,-1,0)</definedName>
    <definedName name="Import.Quantidade" hidden="1">OFFSET([1]ORÇAMENTO!$AJ$15,1,0):OFFSET([1]ORÇAMENTO!$AJ$723,-1,0)</definedName>
    <definedName name="import.recurso" hidden="1">[1]DADOS!$C$4</definedName>
    <definedName name="Import.RegimeExecução" hidden="1">OFFSET([1]DADOS!$D$40,0,-1)</definedName>
    <definedName name="Import.Repasse" hidden="1">[1]DADOS!$C$9</definedName>
    <definedName name="Import.RespFiscalização" hidden="1">[1]DADOS!$C$51:$C$54</definedName>
    <definedName name="Import.RespOrçamento" hidden="1">[1]DADOS!$C$22:$C$24</definedName>
    <definedName name="Import.SICONV" hidden="1">[1]DADOS!$C$8</definedName>
    <definedName name="Import.TipoArredondamento" hidden="1">[1]DADOS!$C$31</definedName>
    <definedName name="Import.TransfereGOV" hidden="1">[1]DADOS!$C$8</definedName>
    <definedName name="Import.Unidade" hidden="1">OFFSET([1]ORÇAMENTO!$S$15,1,0):OFFSET([1]ORÇAMENTO!$S$723,-1,0)</definedName>
    <definedName name="Import.UnitarioLicitado" hidden="1">OFFSET([1]ORÇAMENTO!$AL$15,1,0):OFFSET([1]ORÇAMENTO!$AL$723,-1,0)</definedName>
    <definedName name="ListaTgov.Unidades" hidden="1">[1]DADOS!$AV$3:$AV$220</definedName>
    <definedName name="MENU.CRONO" hidden="1">OFFSET([1]CRONO!$U$11,1,0)</definedName>
    <definedName name="MENU.Import.Form.PLQ" hidden="1">[1]MENU!$K$2</definedName>
    <definedName name="MENU.Import.Form.PreçoUnit" hidden="1">[1]MENU!$K$1</definedName>
    <definedName name="NumEventos" localSheetId="0" hidden="1">COUNT(OFFSET(Eventos,0,0,,1))</definedName>
    <definedName name="NumEventos" hidden="1">COUNT(OFFSET(Eventos,0,0,,1))</definedName>
    <definedName name="Objeto" hidden="1">[1]MENU!$J$1</definedName>
    <definedName name="ORÇAMENTO.BancoRef" hidden="1">[1]ORÇAMENTO!$F$8</definedName>
    <definedName name="ORÇAMENTO.CodBarra" hidden="1">IF(ORÇAMENTO.Fonte="Sinapi",SUBSTITUTE(SUBSTITUTE(ORÇAMENTO.Codigo,"/00","/"),"/0","/"),ORÇAMENTO.Codigo)</definedName>
    <definedName name="ORÇAMENTO.Codigo" hidden="1">[1]ORÇAMENTO!$Q1</definedName>
    <definedName name="ORÇAMENTO.CustoUnitario" hidden="1">ROUND([1]ORÇAMENTO!$U1,15-13*[1]ORÇAMENTO!$AF$8)</definedName>
    <definedName name="ORÇAMENTO.Descricao" hidden="1">[1]ORÇAMENTO!$R1</definedName>
    <definedName name="ORÇAMENTO.Fonte" hidden="1">[1]ORÇAMENTO!$P1</definedName>
    <definedName name="ORÇAMENTO.Lista.BDI" hidden="1">[1]ORÇAMENTO!$F$4:$I$4</definedName>
    <definedName name="ORÇAMENTO.Lista.Fonte" hidden="1">[1]ORÇAMENTO!$E$3:$I$3</definedName>
    <definedName name="ORÇAMENTO.Lista.Nível" hidden="1">[1]ORÇAMENTO!$E$2:$I$2</definedName>
    <definedName name="ORÇAMENTO.Lista.Recurso" hidden="1">[1]ORÇAMENTO!$F$7:$I$7</definedName>
    <definedName name="ORÇAMENTO.ListaCrono" hidden="1">OFFSET([1]ORÇAMENTO!$AD$15,1,0):OFFSET([1]ORÇAMENTO!$AD$723,-1,0)</definedName>
    <definedName name="ORÇAMENTO.MáximoListaCrono" hidden="1">MAX(ORÇAMENTO.ListaCrono)</definedName>
    <definedName name="ORÇAMENTO.Nivel" hidden="1">[1]ORÇAMENTO!$M1</definedName>
    <definedName name="ORÇAMENTO.OpcaoBDI" hidden="1">[1]ORÇAMENTO!$V1</definedName>
    <definedName name="ORÇAMENTO.PasteFormat1" hidden="1">OFFSET([1]ORÇAMENTO!$P$15,1,0):OFFSET([1]ORÇAMENTO!$S$723,-1,0)</definedName>
    <definedName name="ORÇAMENTO.PasteFormat2" hidden="1">OFFSET([1]ORÇAMENTO!$U$15,1,0):OFFSET([1]ORÇAMENTO!$V$723,-1,0)</definedName>
    <definedName name="ORÇAMENTO.PrecoUnitarioLicitado" hidden="1">[1]ORÇAMENTO!$AL1</definedName>
    <definedName name="ORÇAMENTO.RangeQuant" hidden="1">OFFSET([1]ORÇAMENTO!$T$15,1,0):OFFSET([1]ORÇAMENTO!$T$723,-1,0)</definedName>
    <definedName name="ORÇAMENTO.SumCPMANUAL" hidden="1">SUMIF([1]ORÇAMENTO!$Z$15:$Z$723,"CP",[1]ORÇAMENTO!$AA$15:$AA$723)</definedName>
    <definedName name="ORÇAMENTO.SumINVMANUAL" hidden="1">SUMIF([1]ORÇAMENTO!$Z$15:$Z$723,"RP",[1]ORÇAMENTO!$X$15:$X$723)+SUMIF([1]ORÇAMENTO!$Z$15:$Z$723,"CP",[1]ORÇAMENTO!$X$15:$X$723)+SUMIF([1]ORÇAMENTO!$Z$15:$Z$723,"OU",[1]ORÇAMENTO!$X$15:$X$723)</definedName>
    <definedName name="ORÇAMENTO.SumOUTROSMANUAL" hidden="1">SUMIF([1]ORÇAMENTO!$Z$15:$Z$723,"OU",[1]ORÇAMENTO!$AB$15:$AB$723)</definedName>
    <definedName name="ORÇAMENTO.SumREPASSEMANUAL" hidden="1">ORÇAMENTO.SumINVMANUAL-ORÇAMENTO.SumCPMANUAL-ORÇAMENTO.SumOUTROSMANUAL</definedName>
    <definedName name="ORÇAMENTO.Unidade" hidden="1">[1]ORÇAMENTO!$S1</definedName>
    <definedName name="PLE.firstrow" hidden="1">[1]PLE!$15:$15</definedName>
    <definedName name="PLE.lastrow" hidden="1">[1]PLE!$65:$65</definedName>
    <definedName name="PLE.Medicao" hidden="1">[1]PLE!$J$9</definedName>
    <definedName name="PLE.ValorDoEvento" hidden="1">SUMIF([1]CÁLCULO!$M$15:$M$723,[1]PLE!$B1,OFFSET([1]CÁLCULO!$AA$15:$AA$723,0,[1]PLE!A$12))</definedName>
    <definedName name="PO.ValoresBDI" hidden="1">OFFSET([1]ORÇAMENTO!$AH$15,1,0):OFFSET([1]ORÇAMENTO!$AH$723,-1,0)</definedName>
    <definedName name="QCI.CPManual" hidden="1">ROUND([1]QCI!$W1,2)</definedName>
    <definedName name="QCI.DescManual" hidden="1">[1]QCI!$R1</definedName>
    <definedName name="QCI.Divisao" hidden="1">[1]QCI!$V1</definedName>
    <definedName name="QCI.ExisteManual" hidden="1">(COUNTIF([1]QCI!$B$13:$B$24,"Manual")+COUNTIF([1]QCI!$B$13:$B$24,"SemiAuto"))&gt;0</definedName>
    <definedName name="QCI.InvManual" hidden="1">ROUND([1]QCI!$U1,2)</definedName>
    <definedName name="QCI.ItemInvestimento" hidden="1">OFFSET([1]DADOS!$L$2,1,0,COUNTA([1]DADOS!$L:$L)-1,1)</definedName>
    <definedName name="QCI.Lista.DivisãoInvest" hidden="1">[1]QCI!$A$8:$A$9</definedName>
    <definedName name="QCI.Lista.Situação" hidden="1">[1]QCI!$A$2:$A$6</definedName>
    <definedName name="QCI.LoteManual" hidden="1">[1]QCI!$T1</definedName>
    <definedName name="QCI.MaxCPManual" hidden="1">[1]QCI!$O1-[1]QCI!$X1</definedName>
    <definedName name="QCI.MaxOUManual" hidden="1">[1]QCI!$O1-[1]QCI!$W1</definedName>
    <definedName name="QCI.OutrosManual" hidden="1">ROUND([1]QCI!$X1,2)</definedName>
    <definedName name="QCI.SubItemInvestimento" hidden="1">OFFSET([1]DADOS!$A$2,1,MATCH([1]QCI!$E1,[1]DADOS!$2:$2,0)-1,INDEX([1]DADOS!$2:$2,MATCH([1]QCI!$E1,[1]DADOS!$2:$2,0)+1))</definedName>
    <definedName name="QCI.SumCPMANUAL" hidden="1">SUMIF([1]QCI!$B$13:$B$24,"Manual",[1]QCI!$AA$13:$AA$24)</definedName>
    <definedName name="QCI.SumINVMANUAL" hidden="1">SUMIF([1]QCI!$B$13:$B$24,"Manual",[1]QCI!$O$13:$O$24)</definedName>
    <definedName name="QCI.SumOUTROSMANUAL" hidden="1">SUMIF([1]QCI!$B$13:$B$24,"Manual",[1]QCI!$AB$13:$AB$24)</definedName>
    <definedName name="QCI.SumREPASSEMANUAL" hidden="1">QCI.SumINVMANUAL-QCI.CPManual-QCI.OutrosManual</definedName>
    <definedName name="REFERENCIA.Descricao" hidden="1">IF(ISNUMBER([1]ORÇAMENTO!$AF1),OFFSET(INDIRECT(ORÇAMENTO.BancoRef),[1]ORÇAMENTO!$AF1-1,3,1),[1]ORÇAMENTO!$AF1)</definedName>
    <definedName name="REFERENCIA.Desonerado" hidden="1">IF(ISNUMBER([1]ORÇAMENTO!$AF1),VALUE(OFFSET(INDIRECT(ORÇAMENTO.BancoRef),[1]ORÇAMENTO!$AF1-1,5,1)),0)</definedName>
    <definedName name="REFERENCIA.NaoDesonerado" hidden="1">IF(ISNUMBER([1]ORÇAMENTO!$AF1),VALUE(OFFSET(INDIRECT(ORÇAMENTO.BancoRef),[1]ORÇAMENTO!$AF1-1,6,1)),0)</definedName>
    <definedName name="REFERENCIA.Unidade" hidden="1">IF(ISNUMBER([1]ORÇAMENTO!$AF1),OFFSET(INDIRECT(ORÇAMENTO.BancoRef),[1]ORÇAMENTO!$AF1-1,4,1),"-")</definedName>
    <definedName name="RegimeExecucao" hidden="1">IF(OR(Import.RegimeExecução="",Import.RegimeExecução="Empreitada por Preço Global",Import.RegimeExecução="Empreitada Integral"),"Global","Unitário")</definedName>
    <definedName name="RRE.MaxCPAcum" hidden="1">[1]RRE!$AD$26</definedName>
    <definedName name="RRE.MaxCPAnt" hidden="1">[1]RRE!$AC$26</definedName>
    <definedName name="RRE.MaxOUAcum" hidden="1">[1]RRE!$AD$27</definedName>
    <definedName name="RRE.MaxOUAnt" hidden="1">[1]RRE!$AC$27</definedName>
    <definedName name="RRE.Numero" hidden="1">OFFSET([1]RRE!$O$7,0,1)</definedName>
    <definedName name="RRE.VIMeta" hidden="1">[1]RRE!$L1</definedName>
    <definedName name="SENHAGT" hidden="1">"PM3CAIXA"</definedName>
    <definedName name="SomaAgrup" hidden="1">SUMIF(OFFSET([1]ORÇAMENTO!$C1,1,0,[1]ORÇAMENTO!$D1),"S",OFFSET([1]ORÇAMENTO!A1,1,0,[1]ORÇAMENTO!$D1))</definedName>
    <definedName name="SomaAgrupBM" hidden="1">SUMIF(OFFSET([1]BM!$A1,1,0,[1]BM!$B1),"S",OFFSET([1]BM!A1,1,0,[1]BM!$B1))</definedName>
    <definedName name="TIPOORCAMENTO" hidden="1">IF(VALUE([1]MENU!$O$3)=2,"Licitado","Proposto")</definedName>
    <definedName name="Versao" hidden="1">[1]MENU!$J$2</definedName>
    <definedName name="VTOTAL1" hidden="1">ROUND([1]ORÇAMENTO!$T1*[1]ORÇAMENTO!$W1,15-13*[1]ORÇAMENTO!$AF$11)</definedName>
    <definedName name="VTOTALBM" hidden="1">IF([1]BM!$I1=0,0,CHOOSE(MATCH(RegimeExecucao,{"Global","Unitário"},0),ROUND(ROUND([1]BM!XFB1,15-13*[1]BM!$A$9)/100*[1]BM!$I1,15-13*[1]ORÇAMENTO!$AF$11),ROUND(ROUND([1]BM!XFB1,15-13*[1]BM!$A$9)*ROUND([1]BM!$H1,15-13*[1]ORÇAMENTO!$AF$10),15-13*[1]ORÇAMENTO!$AF$11)))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636" i="1" l="1"/>
  <c r="Q635" i="1"/>
  <c r="Q634" i="1"/>
  <c r="L634" i="1"/>
  <c r="K634" i="1"/>
  <c r="F634" i="1"/>
  <c r="Q633" i="1"/>
  <c r="L633" i="1"/>
  <c r="K633" i="1"/>
  <c r="F633" i="1"/>
  <c r="Q632" i="1"/>
  <c r="L632" i="1"/>
  <c r="K632" i="1"/>
  <c r="F632" i="1"/>
  <c r="L631" i="1"/>
  <c r="Q630" i="1"/>
  <c r="L630" i="1"/>
  <c r="K630" i="1"/>
  <c r="F630" i="1"/>
  <c r="Q629" i="1"/>
  <c r="L629" i="1"/>
  <c r="K629" i="1"/>
  <c r="F629" i="1"/>
  <c r="Q628" i="1"/>
  <c r="L628" i="1"/>
  <c r="K628" i="1"/>
  <c r="F628" i="1"/>
  <c r="Q627" i="1"/>
  <c r="L627" i="1"/>
  <c r="K627" i="1"/>
  <c r="F627" i="1"/>
  <c r="Q626" i="1"/>
  <c r="L626" i="1"/>
  <c r="K626" i="1"/>
  <c r="F626" i="1"/>
  <c r="Q625" i="1"/>
  <c r="L625" i="1"/>
  <c r="K625" i="1"/>
  <c r="F625" i="1"/>
  <c r="Q624" i="1"/>
  <c r="L624" i="1"/>
  <c r="K624" i="1"/>
  <c r="F624" i="1"/>
  <c r="Q623" i="1"/>
  <c r="L623" i="1"/>
  <c r="K623" i="1"/>
  <c r="F623" i="1"/>
  <c r="Q622" i="1"/>
  <c r="L622" i="1"/>
  <c r="K622" i="1"/>
  <c r="F622" i="1"/>
  <c r="Q621" i="1"/>
  <c r="L621" i="1"/>
  <c r="K621" i="1"/>
  <c r="F621" i="1"/>
  <c r="Q620" i="1"/>
  <c r="L620" i="1"/>
  <c r="K620" i="1"/>
  <c r="F620" i="1"/>
  <c r="Q619" i="1"/>
  <c r="L619" i="1"/>
  <c r="K619" i="1"/>
  <c r="F619" i="1"/>
  <c r="Q618" i="1"/>
  <c r="L618" i="1"/>
  <c r="K618" i="1"/>
  <c r="F618" i="1"/>
  <c r="Q617" i="1"/>
  <c r="L617" i="1"/>
  <c r="K617" i="1"/>
  <c r="F617" i="1"/>
  <c r="Q616" i="1"/>
  <c r="L616" i="1"/>
  <c r="K616" i="1"/>
  <c r="F616" i="1"/>
  <c r="Q615" i="1"/>
  <c r="L615" i="1"/>
  <c r="K615" i="1"/>
  <c r="F615" i="1"/>
  <c r="Q614" i="1"/>
  <c r="L614" i="1"/>
  <c r="K614" i="1"/>
  <c r="F614" i="1"/>
  <c r="Q613" i="1"/>
  <c r="L613" i="1"/>
  <c r="K613" i="1"/>
  <c r="F613" i="1"/>
  <c r="Q612" i="1"/>
  <c r="L612" i="1"/>
  <c r="K612" i="1"/>
  <c r="F612" i="1"/>
  <c r="Q611" i="1"/>
  <c r="L611" i="1"/>
  <c r="K611" i="1"/>
  <c r="F611" i="1"/>
  <c r="Q610" i="1"/>
  <c r="L610" i="1"/>
  <c r="K610" i="1"/>
  <c r="F610" i="1"/>
  <c r="Q609" i="1"/>
  <c r="L609" i="1"/>
  <c r="K609" i="1"/>
  <c r="F609" i="1"/>
  <c r="Q608" i="1"/>
  <c r="L608" i="1"/>
  <c r="K608" i="1"/>
  <c r="F608" i="1"/>
  <c r="Q607" i="1"/>
  <c r="L607" i="1"/>
  <c r="K607" i="1"/>
  <c r="F607" i="1"/>
  <c r="Q606" i="1"/>
  <c r="L606" i="1"/>
  <c r="K606" i="1"/>
  <c r="F606" i="1"/>
  <c r="Q605" i="1"/>
  <c r="L605" i="1"/>
  <c r="K605" i="1"/>
  <c r="F605" i="1"/>
  <c r="Q604" i="1"/>
  <c r="L604" i="1"/>
  <c r="K604" i="1"/>
  <c r="F604" i="1"/>
  <c r="Q603" i="1"/>
  <c r="L603" i="1"/>
  <c r="K603" i="1"/>
  <c r="F603" i="1"/>
  <c r="Q602" i="1"/>
  <c r="L602" i="1"/>
  <c r="K602" i="1"/>
  <c r="F602" i="1"/>
  <c r="Q601" i="1"/>
  <c r="L601" i="1"/>
  <c r="K601" i="1"/>
  <c r="F601" i="1"/>
  <c r="Q600" i="1"/>
  <c r="L600" i="1"/>
  <c r="K600" i="1"/>
  <c r="F600" i="1"/>
  <c r="Q599" i="1"/>
  <c r="L599" i="1"/>
  <c r="K599" i="1"/>
  <c r="F599" i="1"/>
  <c r="Q598" i="1"/>
  <c r="L598" i="1"/>
  <c r="K598" i="1"/>
  <c r="F598" i="1"/>
  <c r="Q597" i="1"/>
  <c r="L597" i="1"/>
  <c r="K597" i="1"/>
  <c r="F597" i="1"/>
  <c r="Q596" i="1"/>
  <c r="L596" i="1"/>
  <c r="K596" i="1"/>
  <c r="F596" i="1"/>
  <c r="L595" i="1"/>
  <c r="Q594" i="1"/>
  <c r="L594" i="1"/>
  <c r="K594" i="1"/>
  <c r="F594" i="1"/>
  <c r="Q593" i="1"/>
  <c r="L593" i="1"/>
  <c r="K593" i="1"/>
  <c r="F593" i="1"/>
  <c r="Q592" i="1"/>
  <c r="L592" i="1"/>
  <c r="K592" i="1"/>
  <c r="F592" i="1"/>
  <c r="Q591" i="1"/>
  <c r="L591" i="1"/>
  <c r="K591" i="1"/>
  <c r="F591" i="1"/>
  <c r="Q590" i="1"/>
  <c r="L590" i="1"/>
  <c r="K590" i="1"/>
  <c r="F590" i="1"/>
  <c r="Q589" i="1"/>
  <c r="L589" i="1"/>
  <c r="K589" i="1"/>
  <c r="F589" i="1"/>
  <c r="Q588" i="1"/>
  <c r="L588" i="1"/>
  <c r="K588" i="1"/>
  <c r="F588" i="1"/>
  <c r="Q587" i="1"/>
  <c r="L587" i="1"/>
  <c r="K587" i="1"/>
  <c r="F587" i="1"/>
  <c r="Q586" i="1"/>
  <c r="L586" i="1"/>
  <c r="K586" i="1"/>
  <c r="F586" i="1"/>
  <c r="Q585" i="1"/>
  <c r="L585" i="1"/>
  <c r="K585" i="1"/>
  <c r="F585" i="1"/>
  <c r="L584" i="1"/>
  <c r="Q583" i="1"/>
  <c r="L583" i="1"/>
  <c r="K583" i="1"/>
  <c r="F583" i="1"/>
  <c r="Q582" i="1"/>
  <c r="L582" i="1"/>
  <c r="K582" i="1"/>
  <c r="F582" i="1"/>
  <c r="Q581" i="1"/>
  <c r="L581" i="1"/>
  <c r="K581" i="1"/>
  <c r="F581" i="1"/>
  <c r="Q580" i="1"/>
  <c r="L580" i="1"/>
  <c r="K580" i="1"/>
  <c r="F580" i="1"/>
  <c r="Q579" i="1"/>
  <c r="L579" i="1"/>
  <c r="K579" i="1"/>
  <c r="F579" i="1"/>
  <c r="Q578" i="1"/>
  <c r="L578" i="1"/>
  <c r="K578" i="1"/>
  <c r="F578" i="1"/>
  <c r="Q577" i="1"/>
  <c r="L577" i="1"/>
  <c r="K577" i="1"/>
  <c r="F577" i="1"/>
  <c r="Q576" i="1"/>
  <c r="L576" i="1"/>
  <c r="K576" i="1"/>
  <c r="F576" i="1"/>
  <c r="Q575" i="1"/>
  <c r="L575" i="1"/>
  <c r="K575" i="1"/>
  <c r="F575" i="1"/>
  <c r="Q574" i="1"/>
  <c r="L574" i="1"/>
  <c r="K574" i="1"/>
  <c r="F574" i="1"/>
  <c r="Q573" i="1"/>
  <c r="L573" i="1"/>
  <c r="K573" i="1"/>
  <c r="F573" i="1"/>
  <c r="Q572" i="1"/>
  <c r="L572" i="1"/>
  <c r="K572" i="1"/>
  <c r="F572" i="1"/>
  <c r="Q571" i="1"/>
  <c r="L571" i="1"/>
  <c r="K571" i="1"/>
  <c r="F571" i="1"/>
  <c r="L570" i="1"/>
  <c r="Q569" i="1"/>
  <c r="L569" i="1"/>
  <c r="K569" i="1"/>
  <c r="F569" i="1"/>
  <c r="Q568" i="1"/>
  <c r="L568" i="1"/>
  <c r="K568" i="1"/>
  <c r="F568" i="1"/>
  <c r="Q567" i="1"/>
  <c r="L567" i="1"/>
  <c r="K567" i="1"/>
  <c r="F567" i="1"/>
  <c r="L566" i="1"/>
  <c r="Q565" i="1"/>
  <c r="L565" i="1"/>
  <c r="K565" i="1"/>
  <c r="F565" i="1"/>
  <c r="Q564" i="1"/>
  <c r="L564" i="1"/>
  <c r="K564" i="1"/>
  <c r="F564" i="1"/>
  <c r="Q563" i="1"/>
  <c r="L563" i="1"/>
  <c r="K563" i="1"/>
  <c r="F563" i="1"/>
  <c r="Q562" i="1"/>
  <c r="L562" i="1"/>
  <c r="K562" i="1"/>
  <c r="F562" i="1"/>
  <c r="Q561" i="1"/>
  <c r="L561" i="1"/>
  <c r="K561" i="1"/>
  <c r="F561" i="1"/>
  <c r="Q560" i="1"/>
  <c r="L560" i="1"/>
  <c r="K560" i="1"/>
  <c r="F560" i="1"/>
  <c r="Q559" i="1"/>
  <c r="L559" i="1"/>
  <c r="K559" i="1"/>
  <c r="F559" i="1"/>
  <c r="Q558" i="1"/>
  <c r="L558" i="1"/>
  <c r="K558" i="1"/>
  <c r="F558" i="1"/>
  <c r="Q557" i="1"/>
  <c r="L557" i="1"/>
  <c r="K557" i="1"/>
  <c r="F557" i="1"/>
  <c r="Q556" i="1"/>
  <c r="L556" i="1"/>
  <c r="K556" i="1"/>
  <c r="F556" i="1"/>
  <c r="Q555" i="1"/>
  <c r="L555" i="1"/>
  <c r="K555" i="1"/>
  <c r="F555" i="1"/>
  <c r="Q554" i="1"/>
  <c r="L554" i="1"/>
  <c r="K554" i="1"/>
  <c r="F554" i="1"/>
  <c r="Q553" i="1"/>
  <c r="L553" i="1"/>
  <c r="K553" i="1"/>
  <c r="F553" i="1"/>
  <c r="Q552" i="1"/>
  <c r="L552" i="1"/>
  <c r="K552" i="1"/>
  <c r="F552" i="1"/>
  <c r="Q551" i="1"/>
  <c r="L551" i="1"/>
  <c r="K551" i="1"/>
  <c r="F551" i="1"/>
  <c r="Q550" i="1"/>
  <c r="L550" i="1"/>
  <c r="K550" i="1"/>
  <c r="F550" i="1"/>
  <c r="Q549" i="1"/>
  <c r="L549" i="1"/>
  <c r="K549" i="1"/>
  <c r="F549" i="1"/>
  <c r="Q548" i="1"/>
  <c r="L548" i="1"/>
  <c r="K548" i="1"/>
  <c r="F548" i="1"/>
  <c r="L547" i="1"/>
  <c r="Q546" i="1"/>
  <c r="L546" i="1"/>
  <c r="K546" i="1"/>
  <c r="F546" i="1"/>
  <c r="Q545" i="1"/>
  <c r="L545" i="1"/>
  <c r="K545" i="1"/>
  <c r="F545" i="1"/>
  <c r="Q544" i="1"/>
  <c r="L544" i="1"/>
  <c r="K544" i="1"/>
  <c r="F544" i="1"/>
  <c r="Q543" i="1"/>
  <c r="L543" i="1"/>
  <c r="K543" i="1"/>
  <c r="F543" i="1"/>
  <c r="Q542" i="1"/>
  <c r="L542" i="1"/>
  <c r="K542" i="1"/>
  <c r="F542" i="1"/>
  <c r="Q541" i="1"/>
  <c r="L541" i="1"/>
  <c r="K541" i="1"/>
  <c r="F541" i="1"/>
  <c r="Q540" i="1"/>
  <c r="L540" i="1"/>
  <c r="K540" i="1"/>
  <c r="F540" i="1"/>
  <c r="Q539" i="1"/>
  <c r="L539" i="1"/>
  <c r="K539" i="1"/>
  <c r="F539" i="1"/>
  <c r="Q538" i="1"/>
  <c r="L538" i="1"/>
  <c r="K538" i="1"/>
  <c r="F538" i="1"/>
  <c r="Q537" i="1"/>
  <c r="L537" i="1"/>
  <c r="K537" i="1"/>
  <c r="F537" i="1"/>
  <c r="Q536" i="1"/>
  <c r="L536" i="1"/>
  <c r="K536" i="1"/>
  <c r="F536" i="1"/>
  <c r="Q535" i="1"/>
  <c r="L535" i="1"/>
  <c r="K535" i="1"/>
  <c r="F535" i="1"/>
  <c r="Q534" i="1"/>
  <c r="L534" i="1"/>
  <c r="K534" i="1"/>
  <c r="F534" i="1"/>
  <c r="L533" i="1"/>
  <c r="Q532" i="1"/>
  <c r="L532" i="1"/>
  <c r="K532" i="1"/>
  <c r="F532" i="1"/>
  <c r="Q531" i="1"/>
  <c r="L531" i="1"/>
  <c r="K531" i="1"/>
  <c r="F531" i="1"/>
  <c r="Q530" i="1"/>
  <c r="L530" i="1"/>
  <c r="K530" i="1"/>
  <c r="F530" i="1"/>
  <c r="Q529" i="1"/>
  <c r="L529" i="1"/>
  <c r="K529" i="1"/>
  <c r="F529" i="1"/>
  <c r="Q528" i="1"/>
  <c r="L528" i="1"/>
  <c r="K528" i="1"/>
  <c r="F528" i="1"/>
  <c r="Q527" i="1"/>
  <c r="L527" i="1"/>
  <c r="K527" i="1"/>
  <c r="F527" i="1"/>
  <c r="Q526" i="1"/>
  <c r="L526" i="1"/>
  <c r="K526" i="1"/>
  <c r="F526" i="1"/>
  <c r="Q525" i="1"/>
  <c r="L525" i="1"/>
  <c r="K525" i="1"/>
  <c r="F525" i="1"/>
  <c r="Q524" i="1"/>
  <c r="L524" i="1"/>
  <c r="K524" i="1"/>
  <c r="F524" i="1"/>
  <c r="Q523" i="1"/>
  <c r="L523" i="1"/>
  <c r="K523" i="1"/>
  <c r="F523" i="1"/>
  <c r="Q522" i="1"/>
  <c r="L522" i="1"/>
  <c r="K522" i="1"/>
  <c r="F522" i="1"/>
  <c r="Q521" i="1"/>
  <c r="L521" i="1"/>
  <c r="K521" i="1"/>
  <c r="F521" i="1"/>
  <c r="Q520" i="1"/>
  <c r="L520" i="1"/>
  <c r="K520" i="1"/>
  <c r="F520" i="1"/>
  <c r="Q519" i="1"/>
  <c r="L519" i="1"/>
  <c r="K519" i="1"/>
  <c r="F519" i="1"/>
  <c r="Q518" i="1"/>
  <c r="L518" i="1"/>
  <c r="K518" i="1"/>
  <c r="F518" i="1"/>
  <c r="Q517" i="1"/>
  <c r="L517" i="1"/>
  <c r="K517" i="1"/>
  <c r="F517" i="1"/>
  <c r="Q516" i="1"/>
  <c r="L516" i="1"/>
  <c r="K516" i="1"/>
  <c r="F516" i="1"/>
  <c r="Q515" i="1"/>
  <c r="L515" i="1"/>
  <c r="K515" i="1"/>
  <c r="F515" i="1"/>
  <c r="Q514" i="1"/>
  <c r="L514" i="1"/>
  <c r="K514" i="1"/>
  <c r="F514" i="1"/>
  <c r="Q513" i="1"/>
  <c r="L513" i="1"/>
  <c r="K513" i="1"/>
  <c r="F513" i="1"/>
  <c r="Q512" i="1"/>
  <c r="L512" i="1"/>
  <c r="K512" i="1"/>
  <c r="F512" i="1"/>
  <c r="Q511" i="1"/>
  <c r="L511" i="1"/>
  <c r="K511" i="1"/>
  <c r="F511" i="1"/>
  <c r="Q510" i="1"/>
  <c r="L510" i="1"/>
  <c r="K510" i="1"/>
  <c r="F510" i="1"/>
  <c r="Q509" i="1"/>
  <c r="L509" i="1"/>
  <c r="K509" i="1"/>
  <c r="F509" i="1"/>
  <c r="Q508" i="1"/>
  <c r="L508" i="1"/>
  <c r="K508" i="1"/>
  <c r="F508" i="1"/>
  <c r="Q507" i="1"/>
  <c r="L507" i="1"/>
  <c r="K507" i="1"/>
  <c r="F507" i="1"/>
  <c r="Q506" i="1"/>
  <c r="L506" i="1"/>
  <c r="K506" i="1"/>
  <c r="F506" i="1"/>
  <c r="L505" i="1"/>
  <c r="Q504" i="1"/>
  <c r="L504" i="1"/>
  <c r="K504" i="1"/>
  <c r="F504" i="1"/>
  <c r="Q503" i="1"/>
  <c r="L503" i="1"/>
  <c r="K503" i="1"/>
  <c r="F503" i="1"/>
  <c r="Q502" i="1"/>
  <c r="L502" i="1"/>
  <c r="K502" i="1"/>
  <c r="F502" i="1"/>
  <c r="Q501" i="1"/>
  <c r="L501" i="1"/>
  <c r="K501" i="1"/>
  <c r="F501" i="1"/>
  <c r="Q500" i="1"/>
  <c r="L500" i="1"/>
  <c r="K500" i="1"/>
  <c r="F500" i="1"/>
  <c r="Q499" i="1"/>
  <c r="L499" i="1"/>
  <c r="K499" i="1"/>
  <c r="F499" i="1"/>
  <c r="Q498" i="1"/>
  <c r="L498" i="1"/>
  <c r="K498" i="1"/>
  <c r="F498" i="1"/>
  <c r="Q497" i="1"/>
  <c r="L497" i="1"/>
  <c r="K497" i="1"/>
  <c r="F497" i="1"/>
  <c r="Q496" i="1"/>
  <c r="L496" i="1"/>
  <c r="K496" i="1"/>
  <c r="F496" i="1"/>
  <c r="Q495" i="1"/>
  <c r="L495" i="1"/>
  <c r="K495" i="1"/>
  <c r="F495" i="1"/>
  <c r="Q494" i="1"/>
  <c r="L494" i="1"/>
  <c r="K494" i="1"/>
  <c r="F494" i="1"/>
  <c r="Q493" i="1"/>
  <c r="L493" i="1"/>
  <c r="K493" i="1"/>
  <c r="F493" i="1"/>
  <c r="Q492" i="1"/>
  <c r="L492" i="1"/>
  <c r="K492" i="1"/>
  <c r="F492" i="1"/>
  <c r="Q491" i="1"/>
  <c r="L491" i="1"/>
  <c r="K491" i="1"/>
  <c r="F491" i="1"/>
  <c r="Q490" i="1"/>
  <c r="L490" i="1"/>
  <c r="K490" i="1"/>
  <c r="F490" i="1"/>
  <c r="Q489" i="1"/>
  <c r="L489" i="1"/>
  <c r="K489" i="1"/>
  <c r="F489" i="1"/>
  <c r="Q488" i="1"/>
  <c r="L488" i="1"/>
  <c r="K488" i="1"/>
  <c r="F488" i="1"/>
  <c r="Q487" i="1"/>
  <c r="L487" i="1"/>
  <c r="K487" i="1"/>
  <c r="F487" i="1"/>
  <c r="Q486" i="1"/>
  <c r="L486" i="1"/>
  <c r="K486" i="1"/>
  <c r="F486" i="1"/>
  <c r="Q485" i="1"/>
  <c r="L485" i="1"/>
  <c r="K485" i="1"/>
  <c r="F485" i="1"/>
  <c r="Q484" i="1"/>
  <c r="L484" i="1"/>
  <c r="K484" i="1"/>
  <c r="F484" i="1"/>
  <c r="Q483" i="1"/>
  <c r="L483" i="1"/>
  <c r="K483" i="1"/>
  <c r="F483" i="1"/>
  <c r="Q482" i="1"/>
  <c r="L482" i="1"/>
  <c r="K482" i="1"/>
  <c r="F482" i="1"/>
  <c r="Q481" i="1"/>
  <c r="L481" i="1"/>
  <c r="K481" i="1"/>
  <c r="F481" i="1"/>
  <c r="Q480" i="1"/>
  <c r="L480" i="1"/>
  <c r="K480" i="1"/>
  <c r="F480" i="1"/>
  <c r="Q479" i="1"/>
  <c r="L479" i="1"/>
  <c r="K479" i="1"/>
  <c r="F479" i="1"/>
  <c r="Q478" i="1"/>
  <c r="L478" i="1"/>
  <c r="K478" i="1"/>
  <c r="F478" i="1"/>
  <c r="Q477" i="1"/>
  <c r="L477" i="1"/>
  <c r="K477" i="1"/>
  <c r="F477" i="1"/>
  <c r="Q476" i="1"/>
  <c r="L476" i="1"/>
  <c r="K476" i="1"/>
  <c r="F476" i="1"/>
  <c r="Q475" i="1"/>
  <c r="L475" i="1"/>
  <c r="K475" i="1"/>
  <c r="F475" i="1"/>
  <c r="Q474" i="1"/>
  <c r="L474" i="1"/>
  <c r="K474" i="1"/>
  <c r="F474" i="1"/>
  <c r="Q473" i="1"/>
  <c r="L473" i="1"/>
  <c r="K473" i="1"/>
  <c r="F473" i="1"/>
  <c r="Q472" i="1"/>
  <c r="L472" i="1"/>
  <c r="K472" i="1"/>
  <c r="F472" i="1"/>
  <c r="Q471" i="1"/>
  <c r="L471" i="1"/>
  <c r="K471" i="1"/>
  <c r="F471" i="1"/>
  <c r="Q470" i="1"/>
  <c r="L470" i="1"/>
  <c r="K470" i="1"/>
  <c r="F470" i="1"/>
  <c r="Q469" i="1"/>
  <c r="L469" i="1"/>
  <c r="K469" i="1"/>
  <c r="F469" i="1"/>
  <c r="Q468" i="1"/>
  <c r="L468" i="1"/>
  <c r="K468" i="1"/>
  <c r="F468" i="1"/>
  <c r="Q467" i="1"/>
  <c r="L467" i="1"/>
  <c r="K467" i="1"/>
  <c r="F467" i="1"/>
  <c r="Q466" i="1"/>
  <c r="L466" i="1"/>
  <c r="K466" i="1"/>
  <c r="F466" i="1"/>
  <c r="Q465" i="1"/>
  <c r="L465" i="1"/>
  <c r="K465" i="1"/>
  <c r="F465" i="1"/>
  <c r="Q464" i="1"/>
  <c r="L464" i="1"/>
  <c r="K464" i="1"/>
  <c r="F464" i="1"/>
  <c r="Q463" i="1"/>
  <c r="L463" i="1"/>
  <c r="K463" i="1"/>
  <c r="F463" i="1"/>
  <c r="Q462" i="1"/>
  <c r="L462" i="1"/>
  <c r="K462" i="1"/>
  <c r="F462" i="1"/>
  <c r="Q461" i="1"/>
  <c r="L461" i="1"/>
  <c r="K461" i="1"/>
  <c r="F461" i="1"/>
  <c r="Q460" i="1"/>
  <c r="L460" i="1"/>
  <c r="K460" i="1"/>
  <c r="F460" i="1"/>
  <c r="Q459" i="1"/>
  <c r="L459" i="1"/>
  <c r="K459" i="1"/>
  <c r="F459" i="1"/>
  <c r="Q458" i="1"/>
  <c r="L458" i="1"/>
  <c r="K458" i="1"/>
  <c r="F458" i="1"/>
  <c r="Q457" i="1"/>
  <c r="L457" i="1"/>
  <c r="K457" i="1"/>
  <c r="F457" i="1"/>
  <c r="Q456" i="1"/>
  <c r="L456" i="1"/>
  <c r="K456" i="1"/>
  <c r="F456" i="1"/>
  <c r="Q455" i="1"/>
  <c r="L455" i="1"/>
  <c r="K455" i="1"/>
  <c r="F455" i="1"/>
  <c r="Q454" i="1"/>
  <c r="L454" i="1"/>
  <c r="K454" i="1"/>
  <c r="F454" i="1"/>
  <c r="Q453" i="1"/>
  <c r="L453" i="1"/>
  <c r="K453" i="1"/>
  <c r="F453" i="1"/>
  <c r="Q452" i="1"/>
  <c r="L452" i="1"/>
  <c r="K452" i="1"/>
  <c r="F452" i="1"/>
  <c r="Q451" i="1"/>
  <c r="L451" i="1"/>
  <c r="K451" i="1"/>
  <c r="F451" i="1"/>
  <c r="Q450" i="1"/>
  <c r="L450" i="1"/>
  <c r="K450" i="1"/>
  <c r="F450" i="1"/>
  <c r="Q449" i="1"/>
  <c r="L449" i="1"/>
  <c r="K449" i="1"/>
  <c r="F449" i="1"/>
  <c r="Q448" i="1"/>
  <c r="L448" i="1"/>
  <c r="K448" i="1"/>
  <c r="F448" i="1"/>
  <c r="Q447" i="1"/>
  <c r="L447" i="1"/>
  <c r="K447" i="1"/>
  <c r="F447" i="1"/>
  <c r="Q446" i="1"/>
  <c r="L446" i="1"/>
  <c r="K446" i="1"/>
  <c r="F446" i="1"/>
  <c r="Q445" i="1"/>
  <c r="L445" i="1"/>
  <c r="K445" i="1"/>
  <c r="F445" i="1"/>
  <c r="Q444" i="1"/>
  <c r="L444" i="1"/>
  <c r="K444" i="1"/>
  <c r="F444" i="1"/>
  <c r="Q443" i="1"/>
  <c r="L443" i="1"/>
  <c r="K443" i="1"/>
  <c r="F443" i="1"/>
  <c r="Q442" i="1"/>
  <c r="L442" i="1"/>
  <c r="K442" i="1"/>
  <c r="F442" i="1"/>
  <c r="Q441" i="1"/>
  <c r="L441" i="1"/>
  <c r="K441" i="1"/>
  <c r="F441" i="1"/>
  <c r="Q440" i="1"/>
  <c r="L440" i="1"/>
  <c r="K440" i="1"/>
  <c r="F440" i="1"/>
  <c r="Q439" i="1"/>
  <c r="L439" i="1"/>
  <c r="K439" i="1"/>
  <c r="F439" i="1"/>
  <c r="Q438" i="1"/>
  <c r="L438" i="1"/>
  <c r="K438" i="1"/>
  <c r="F438" i="1"/>
  <c r="Q437" i="1"/>
  <c r="L437" i="1"/>
  <c r="K437" i="1"/>
  <c r="F437" i="1"/>
  <c r="Q436" i="1"/>
  <c r="L436" i="1"/>
  <c r="K436" i="1"/>
  <c r="F436" i="1"/>
  <c r="Q435" i="1"/>
  <c r="L435" i="1"/>
  <c r="K435" i="1"/>
  <c r="F435" i="1"/>
  <c r="Q434" i="1"/>
  <c r="L434" i="1"/>
  <c r="K434" i="1"/>
  <c r="F434" i="1"/>
  <c r="Q433" i="1"/>
  <c r="L433" i="1"/>
  <c r="K433" i="1"/>
  <c r="F433" i="1"/>
  <c r="Q432" i="1"/>
  <c r="L432" i="1"/>
  <c r="K432" i="1"/>
  <c r="F432" i="1"/>
  <c r="Q431" i="1"/>
  <c r="L431" i="1"/>
  <c r="K431" i="1"/>
  <c r="F431" i="1"/>
  <c r="Q430" i="1"/>
  <c r="L430" i="1"/>
  <c r="K430" i="1"/>
  <c r="F430" i="1"/>
  <c r="Q429" i="1"/>
  <c r="L429" i="1"/>
  <c r="K429" i="1"/>
  <c r="F429" i="1"/>
  <c r="Q428" i="1"/>
  <c r="L428" i="1"/>
  <c r="K428" i="1"/>
  <c r="F428" i="1"/>
  <c r="Q427" i="1"/>
  <c r="L427" i="1"/>
  <c r="K427" i="1"/>
  <c r="F427" i="1"/>
  <c r="Q426" i="1"/>
  <c r="L426" i="1"/>
  <c r="K426" i="1"/>
  <c r="F426" i="1"/>
  <c r="Q425" i="1"/>
  <c r="L425" i="1"/>
  <c r="K425" i="1"/>
  <c r="F425" i="1"/>
  <c r="Q424" i="1"/>
  <c r="L424" i="1"/>
  <c r="K424" i="1"/>
  <c r="F424" i="1"/>
  <c r="Q423" i="1"/>
  <c r="L423" i="1"/>
  <c r="K423" i="1"/>
  <c r="F423" i="1"/>
  <c r="Q422" i="1"/>
  <c r="L422" i="1"/>
  <c r="K422" i="1"/>
  <c r="F422" i="1"/>
  <c r="Q421" i="1"/>
  <c r="L421" i="1"/>
  <c r="K421" i="1"/>
  <c r="F421" i="1"/>
  <c r="Q420" i="1"/>
  <c r="L420" i="1"/>
  <c r="K420" i="1"/>
  <c r="F420" i="1"/>
  <c r="Q419" i="1"/>
  <c r="L419" i="1"/>
  <c r="K419" i="1"/>
  <c r="F419" i="1"/>
  <c r="Q418" i="1"/>
  <c r="L418" i="1"/>
  <c r="K418" i="1"/>
  <c r="F418" i="1"/>
  <c r="Q417" i="1"/>
  <c r="L417" i="1"/>
  <c r="K417" i="1"/>
  <c r="F417" i="1"/>
  <c r="L416" i="1"/>
  <c r="Q415" i="1"/>
  <c r="L415" i="1"/>
  <c r="K415" i="1"/>
  <c r="F415" i="1"/>
  <c r="Q414" i="1"/>
  <c r="L414" i="1"/>
  <c r="K414" i="1"/>
  <c r="F414" i="1"/>
  <c r="Q413" i="1"/>
  <c r="L413" i="1"/>
  <c r="K413" i="1"/>
  <c r="F413" i="1"/>
  <c r="Q412" i="1"/>
  <c r="L412" i="1"/>
  <c r="K412" i="1"/>
  <c r="F412" i="1"/>
  <c r="Q411" i="1"/>
  <c r="L411" i="1"/>
  <c r="K411" i="1"/>
  <c r="F411" i="1"/>
  <c r="Q410" i="1"/>
  <c r="L410" i="1"/>
  <c r="K410" i="1"/>
  <c r="F410" i="1"/>
  <c r="Q409" i="1"/>
  <c r="L409" i="1"/>
  <c r="K409" i="1"/>
  <c r="F409" i="1"/>
  <c r="Q408" i="1"/>
  <c r="L408" i="1"/>
  <c r="K408" i="1"/>
  <c r="F408" i="1"/>
  <c r="Q407" i="1"/>
  <c r="L407" i="1"/>
  <c r="K407" i="1"/>
  <c r="F407" i="1"/>
  <c r="Q406" i="1"/>
  <c r="L406" i="1"/>
  <c r="K406" i="1"/>
  <c r="F406" i="1"/>
  <c r="Q405" i="1"/>
  <c r="L405" i="1"/>
  <c r="K405" i="1"/>
  <c r="F405" i="1"/>
  <c r="Q404" i="1"/>
  <c r="L404" i="1"/>
  <c r="K404" i="1"/>
  <c r="F404" i="1"/>
  <c r="Q403" i="1"/>
  <c r="L403" i="1"/>
  <c r="K403" i="1"/>
  <c r="F403" i="1"/>
  <c r="Q402" i="1"/>
  <c r="L402" i="1"/>
  <c r="K402" i="1"/>
  <c r="F402" i="1"/>
  <c r="Q401" i="1"/>
  <c r="L401" i="1"/>
  <c r="K401" i="1"/>
  <c r="F401" i="1"/>
  <c r="Q400" i="1"/>
  <c r="L400" i="1"/>
  <c r="K400" i="1"/>
  <c r="F400" i="1"/>
  <c r="Q399" i="1"/>
  <c r="L399" i="1"/>
  <c r="K399" i="1"/>
  <c r="F399" i="1"/>
  <c r="Q398" i="1"/>
  <c r="L398" i="1"/>
  <c r="K398" i="1"/>
  <c r="F398" i="1"/>
  <c r="Q397" i="1"/>
  <c r="L397" i="1"/>
  <c r="K397" i="1"/>
  <c r="F397" i="1"/>
  <c r="Q396" i="1"/>
  <c r="L396" i="1"/>
  <c r="K396" i="1"/>
  <c r="F396" i="1"/>
  <c r="Q395" i="1"/>
  <c r="L395" i="1"/>
  <c r="K395" i="1"/>
  <c r="F395" i="1"/>
  <c r="Q394" i="1"/>
  <c r="L394" i="1"/>
  <c r="K394" i="1"/>
  <c r="F394" i="1"/>
  <c r="Q393" i="1"/>
  <c r="L393" i="1"/>
  <c r="K393" i="1"/>
  <c r="F393" i="1"/>
  <c r="Q392" i="1"/>
  <c r="L392" i="1"/>
  <c r="K392" i="1"/>
  <c r="F392" i="1"/>
  <c r="Q391" i="1"/>
  <c r="L391" i="1"/>
  <c r="K391" i="1"/>
  <c r="F391" i="1"/>
  <c r="Q390" i="1"/>
  <c r="L390" i="1"/>
  <c r="K390" i="1"/>
  <c r="F390" i="1"/>
  <c r="Q389" i="1"/>
  <c r="L389" i="1"/>
  <c r="K389" i="1"/>
  <c r="F389" i="1"/>
  <c r="Q388" i="1"/>
  <c r="L388" i="1"/>
  <c r="K388" i="1"/>
  <c r="F388" i="1"/>
  <c r="Q387" i="1"/>
  <c r="L387" i="1"/>
  <c r="K387" i="1"/>
  <c r="F387" i="1"/>
  <c r="Q386" i="1"/>
  <c r="L386" i="1"/>
  <c r="K386" i="1"/>
  <c r="F386" i="1"/>
  <c r="Q385" i="1"/>
  <c r="L385" i="1"/>
  <c r="K385" i="1"/>
  <c r="F385" i="1"/>
  <c r="Q384" i="1"/>
  <c r="L384" i="1"/>
  <c r="K384" i="1"/>
  <c r="F384" i="1"/>
  <c r="Q383" i="1"/>
  <c r="L383" i="1"/>
  <c r="K383" i="1"/>
  <c r="F383" i="1"/>
  <c r="Q382" i="1"/>
  <c r="L382" i="1"/>
  <c r="K382" i="1"/>
  <c r="F382" i="1"/>
  <c r="Q381" i="1"/>
  <c r="L381" i="1"/>
  <c r="K381" i="1"/>
  <c r="F381" i="1"/>
  <c r="Q380" i="1"/>
  <c r="L380" i="1"/>
  <c r="K380" i="1"/>
  <c r="F380" i="1"/>
  <c r="Q379" i="1"/>
  <c r="L379" i="1"/>
  <c r="K379" i="1"/>
  <c r="F379" i="1"/>
  <c r="Q378" i="1"/>
  <c r="L378" i="1"/>
  <c r="K378" i="1"/>
  <c r="F378" i="1"/>
  <c r="Q377" i="1"/>
  <c r="L377" i="1"/>
  <c r="K377" i="1"/>
  <c r="F377" i="1"/>
  <c r="Q376" i="1"/>
  <c r="L376" i="1"/>
  <c r="K376" i="1"/>
  <c r="F376" i="1"/>
  <c r="Q375" i="1"/>
  <c r="L375" i="1"/>
  <c r="K375" i="1"/>
  <c r="F375" i="1"/>
  <c r="Q374" i="1"/>
  <c r="L374" i="1"/>
  <c r="K374" i="1"/>
  <c r="F374" i="1"/>
  <c r="Q373" i="1"/>
  <c r="L373" i="1"/>
  <c r="K373" i="1"/>
  <c r="F373" i="1"/>
  <c r="Q372" i="1"/>
  <c r="L372" i="1"/>
  <c r="K372" i="1"/>
  <c r="F372" i="1"/>
  <c r="Q371" i="1"/>
  <c r="L371" i="1"/>
  <c r="K371" i="1"/>
  <c r="F371" i="1"/>
  <c r="Q370" i="1"/>
  <c r="L370" i="1"/>
  <c r="K370" i="1"/>
  <c r="F370" i="1"/>
  <c r="Q369" i="1"/>
  <c r="L369" i="1"/>
  <c r="K369" i="1"/>
  <c r="F369" i="1"/>
  <c r="Q368" i="1"/>
  <c r="L368" i="1"/>
  <c r="K368" i="1"/>
  <c r="F368" i="1"/>
  <c r="Q367" i="1"/>
  <c r="L367" i="1"/>
  <c r="K367" i="1"/>
  <c r="F367" i="1"/>
  <c r="Q366" i="1"/>
  <c r="L366" i="1"/>
  <c r="K366" i="1"/>
  <c r="F366" i="1"/>
  <c r="Q365" i="1"/>
  <c r="L365" i="1"/>
  <c r="K365" i="1"/>
  <c r="F365" i="1"/>
  <c r="Q364" i="1"/>
  <c r="L364" i="1"/>
  <c r="K364" i="1"/>
  <c r="F364" i="1"/>
  <c r="Q363" i="1"/>
  <c r="L363" i="1"/>
  <c r="K363" i="1"/>
  <c r="F363" i="1"/>
  <c r="Q362" i="1"/>
  <c r="L362" i="1"/>
  <c r="K362" i="1"/>
  <c r="F362" i="1"/>
  <c r="Q361" i="1"/>
  <c r="L361" i="1"/>
  <c r="K361" i="1"/>
  <c r="F361" i="1"/>
  <c r="Q360" i="1"/>
  <c r="L360" i="1"/>
  <c r="K360" i="1"/>
  <c r="F360" i="1"/>
  <c r="Q359" i="1"/>
  <c r="L359" i="1"/>
  <c r="K359" i="1"/>
  <c r="F359" i="1"/>
  <c r="L358" i="1"/>
  <c r="Q357" i="1"/>
  <c r="L357" i="1"/>
  <c r="K357" i="1"/>
  <c r="F357" i="1"/>
  <c r="Q356" i="1"/>
  <c r="L356" i="1"/>
  <c r="K356" i="1"/>
  <c r="F356" i="1"/>
  <c r="Q355" i="1"/>
  <c r="L355" i="1"/>
  <c r="K355" i="1"/>
  <c r="F355" i="1"/>
  <c r="Q354" i="1"/>
  <c r="L354" i="1"/>
  <c r="K354" i="1"/>
  <c r="F354" i="1"/>
  <c r="Q353" i="1"/>
  <c r="L353" i="1"/>
  <c r="K353" i="1"/>
  <c r="F353" i="1"/>
  <c r="Q352" i="1"/>
  <c r="L352" i="1"/>
  <c r="K352" i="1"/>
  <c r="F352" i="1"/>
  <c r="Q351" i="1"/>
  <c r="L351" i="1"/>
  <c r="K351" i="1"/>
  <c r="F351" i="1"/>
  <c r="Q350" i="1"/>
  <c r="L350" i="1"/>
  <c r="K350" i="1"/>
  <c r="F350" i="1"/>
  <c r="Q349" i="1"/>
  <c r="L349" i="1"/>
  <c r="K349" i="1"/>
  <c r="F349" i="1"/>
  <c r="Q348" i="1"/>
  <c r="L348" i="1"/>
  <c r="K348" i="1"/>
  <c r="F348" i="1"/>
  <c r="Q347" i="1"/>
  <c r="L347" i="1"/>
  <c r="K347" i="1"/>
  <c r="F347" i="1"/>
  <c r="Q346" i="1"/>
  <c r="L346" i="1"/>
  <c r="K346" i="1"/>
  <c r="F346" i="1"/>
  <c r="Q345" i="1"/>
  <c r="L345" i="1"/>
  <c r="K345" i="1"/>
  <c r="F345" i="1"/>
  <c r="Q344" i="1"/>
  <c r="L344" i="1"/>
  <c r="K344" i="1"/>
  <c r="F344" i="1"/>
  <c r="Q343" i="1"/>
  <c r="L343" i="1"/>
  <c r="K343" i="1"/>
  <c r="F343" i="1"/>
  <c r="Q342" i="1"/>
  <c r="L342" i="1"/>
  <c r="K342" i="1"/>
  <c r="F342" i="1"/>
  <c r="Q341" i="1"/>
  <c r="L341" i="1"/>
  <c r="K341" i="1"/>
  <c r="F341" i="1"/>
  <c r="Q340" i="1"/>
  <c r="L340" i="1"/>
  <c r="K340" i="1"/>
  <c r="F340" i="1"/>
  <c r="Q339" i="1"/>
  <c r="L339" i="1"/>
  <c r="K339" i="1"/>
  <c r="F339" i="1"/>
  <c r="Q338" i="1"/>
  <c r="L338" i="1"/>
  <c r="K338" i="1"/>
  <c r="F338" i="1"/>
  <c r="Q337" i="1"/>
  <c r="L337" i="1"/>
  <c r="K337" i="1"/>
  <c r="F337" i="1"/>
  <c r="Q336" i="1"/>
  <c r="L336" i="1"/>
  <c r="K336" i="1"/>
  <c r="F336" i="1"/>
  <c r="Q335" i="1"/>
  <c r="L335" i="1"/>
  <c r="K335" i="1"/>
  <c r="F335" i="1"/>
  <c r="Q334" i="1"/>
  <c r="L334" i="1"/>
  <c r="K334" i="1"/>
  <c r="F334" i="1"/>
  <c r="Q333" i="1"/>
  <c r="L333" i="1"/>
  <c r="K333" i="1"/>
  <c r="F333" i="1"/>
  <c r="Q332" i="1"/>
  <c r="L332" i="1"/>
  <c r="K332" i="1"/>
  <c r="F332" i="1"/>
  <c r="Q331" i="1"/>
  <c r="L331" i="1"/>
  <c r="K331" i="1"/>
  <c r="F331" i="1"/>
  <c r="Q330" i="1"/>
  <c r="L330" i="1"/>
  <c r="K330" i="1"/>
  <c r="F330" i="1"/>
  <c r="Q329" i="1"/>
  <c r="L329" i="1"/>
  <c r="K329" i="1"/>
  <c r="F329" i="1"/>
  <c r="Q328" i="1"/>
  <c r="L328" i="1"/>
  <c r="K328" i="1"/>
  <c r="F328" i="1"/>
  <c r="Q327" i="1"/>
  <c r="L327" i="1"/>
  <c r="K327" i="1"/>
  <c r="F327" i="1"/>
  <c r="Q326" i="1"/>
  <c r="L326" i="1"/>
  <c r="K326" i="1"/>
  <c r="F326" i="1"/>
  <c r="Q325" i="1"/>
  <c r="L325" i="1"/>
  <c r="K325" i="1"/>
  <c r="F325" i="1"/>
  <c r="Q324" i="1"/>
  <c r="L324" i="1"/>
  <c r="K324" i="1"/>
  <c r="F324" i="1"/>
  <c r="L323" i="1"/>
  <c r="Q322" i="1"/>
  <c r="L322" i="1"/>
  <c r="K322" i="1"/>
  <c r="F322" i="1"/>
  <c r="Q321" i="1"/>
  <c r="L321" i="1"/>
  <c r="K321" i="1"/>
  <c r="F321" i="1"/>
  <c r="Q320" i="1"/>
  <c r="L320" i="1"/>
  <c r="K320" i="1"/>
  <c r="F320" i="1"/>
  <c r="Q319" i="1"/>
  <c r="L319" i="1"/>
  <c r="K319" i="1"/>
  <c r="F319" i="1"/>
  <c r="Q318" i="1"/>
  <c r="L318" i="1"/>
  <c r="K318" i="1"/>
  <c r="F318" i="1"/>
  <c r="Q317" i="1"/>
  <c r="L317" i="1"/>
  <c r="K317" i="1"/>
  <c r="F317" i="1"/>
  <c r="Q316" i="1"/>
  <c r="L316" i="1"/>
  <c r="K316" i="1"/>
  <c r="F316" i="1"/>
  <c r="Q315" i="1"/>
  <c r="L315" i="1"/>
  <c r="K315" i="1"/>
  <c r="F315" i="1"/>
  <c r="Q314" i="1"/>
  <c r="L314" i="1"/>
  <c r="K314" i="1"/>
  <c r="F314" i="1"/>
  <c r="Q313" i="1"/>
  <c r="L313" i="1"/>
  <c r="K313" i="1"/>
  <c r="F313" i="1"/>
  <c r="Q312" i="1"/>
  <c r="L312" i="1"/>
  <c r="K312" i="1"/>
  <c r="F312" i="1"/>
  <c r="Q311" i="1"/>
  <c r="L311" i="1"/>
  <c r="K311" i="1"/>
  <c r="F311" i="1"/>
  <c r="Q310" i="1"/>
  <c r="L310" i="1"/>
  <c r="K310" i="1"/>
  <c r="F310" i="1"/>
  <c r="Q309" i="1"/>
  <c r="L309" i="1"/>
  <c r="K309" i="1"/>
  <c r="F309" i="1"/>
  <c r="Q308" i="1"/>
  <c r="L308" i="1"/>
  <c r="K308" i="1"/>
  <c r="F308" i="1"/>
  <c r="Q307" i="1"/>
  <c r="L307" i="1"/>
  <c r="K307" i="1"/>
  <c r="F307" i="1"/>
  <c r="Q306" i="1"/>
  <c r="L306" i="1"/>
  <c r="K306" i="1"/>
  <c r="F306" i="1"/>
  <c r="Q305" i="1"/>
  <c r="L305" i="1"/>
  <c r="K305" i="1"/>
  <c r="F305" i="1"/>
  <c r="Q304" i="1"/>
  <c r="L304" i="1"/>
  <c r="K304" i="1"/>
  <c r="F304" i="1"/>
  <c r="Q303" i="1"/>
  <c r="L303" i="1"/>
  <c r="K303" i="1"/>
  <c r="F303" i="1"/>
  <c r="Q302" i="1"/>
  <c r="L302" i="1"/>
  <c r="K302" i="1"/>
  <c r="F302" i="1"/>
  <c r="Q301" i="1"/>
  <c r="L301" i="1"/>
  <c r="K301" i="1"/>
  <c r="F301" i="1"/>
  <c r="Q300" i="1"/>
  <c r="L300" i="1"/>
  <c r="K300" i="1"/>
  <c r="F300" i="1"/>
  <c r="Q299" i="1"/>
  <c r="L299" i="1"/>
  <c r="K299" i="1"/>
  <c r="F299" i="1"/>
  <c r="Q298" i="1"/>
  <c r="L298" i="1"/>
  <c r="K298" i="1"/>
  <c r="F298" i="1"/>
  <c r="Q297" i="1"/>
  <c r="L297" i="1"/>
  <c r="K297" i="1"/>
  <c r="F297" i="1"/>
  <c r="Q296" i="1"/>
  <c r="L296" i="1"/>
  <c r="K296" i="1"/>
  <c r="F296" i="1"/>
  <c r="Q295" i="1"/>
  <c r="L295" i="1"/>
  <c r="K295" i="1"/>
  <c r="F295" i="1"/>
  <c r="Q294" i="1"/>
  <c r="L294" i="1"/>
  <c r="K294" i="1"/>
  <c r="F294" i="1"/>
  <c r="Q293" i="1"/>
  <c r="L293" i="1"/>
  <c r="K293" i="1"/>
  <c r="F293" i="1"/>
  <c r="Q292" i="1"/>
  <c r="L292" i="1"/>
  <c r="K292" i="1"/>
  <c r="F292" i="1"/>
  <c r="Q291" i="1"/>
  <c r="L291" i="1"/>
  <c r="K291" i="1"/>
  <c r="F291" i="1"/>
  <c r="Q290" i="1"/>
  <c r="L290" i="1"/>
  <c r="K290" i="1"/>
  <c r="F290" i="1"/>
  <c r="Q289" i="1"/>
  <c r="L289" i="1"/>
  <c r="K289" i="1"/>
  <c r="F289" i="1"/>
  <c r="Q288" i="1"/>
  <c r="L288" i="1"/>
  <c r="K288" i="1"/>
  <c r="F288" i="1"/>
  <c r="Q287" i="1"/>
  <c r="L287" i="1"/>
  <c r="K287" i="1"/>
  <c r="F287" i="1"/>
  <c r="Q286" i="1"/>
  <c r="L286" i="1"/>
  <c r="K286" i="1"/>
  <c r="F286" i="1"/>
  <c r="Q285" i="1"/>
  <c r="L285" i="1"/>
  <c r="K285" i="1"/>
  <c r="F285" i="1"/>
  <c r="Q284" i="1"/>
  <c r="L284" i="1"/>
  <c r="K284" i="1"/>
  <c r="F284" i="1"/>
  <c r="Q283" i="1"/>
  <c r="L283" i="1"/>
  <c r="K283" i="1"/>
  <c r="F283" i="1"/>
  <c r="Q282" i="1"/>
  <c r="L282" i="1"/>
  <c r="K282" i="1"/>
  <c r="F282" i="1"/>
  <c r="L281" i="1"/>
  <c r="Q280" i="1"/>
  <c r="L280" i="1"/>
  <c r="K280" i="1"/>
  <c r="F280" i="1"/>
  <c r="Q279" i="1"/>
  <c r="L279" i="1"/>
  <c r="K279" i="1"/>
  <c r="F279" i="1"/>
  <c r="Q278" i="1"/>
  <c r="L278" i="1"/>
  <c r="K278" i="1"/>
  <c r="F278" i="1"/>
  <c r="Q277" i="1"/>
  <c r="L277" i="1"/>
  <c r="K277" i="1"/>
  <c r="F277" i="1"/>
  <c r="Q276" i="1"/>
  <c r="L276" i="1"/>
  <c r="K276" i="1"/>
  <c r="F276" i="1"/>
  <c r="Q275" i="1"/>
  <c r="L275" i="1"/>
  <c r="K275" i="1"/>
  <c r="F275" i="1"/>
  <c r="Q274" i="1"/>
  <c r="L274" i="1"/>
  <c r="K274" i="1"/>
  <c r="F274" i="1"/>
  <c r="Q273" i="1"/>
  <c r="L273" i="1"/>
  <c r="K273" i="1"/>
  <c r="F273" i="1"/>
  <c r="Q272" i="1"/>
  <c r="L272" i="1"/>
  <c r="K272" i="1"/>
  <c r="F272" i="1"/>
  <c r="Q271" i="1"/>
  <c r="L271" i="1"/>
  <c r="K271" i="1"/>
  <c r="F271" i="1"/>
  <c r="Q270" i="1"/>
  <c r="L270" i="1"/>
  <c r="K270" i="1"/>
  <c r="F270" i="1"/>
  <c r="Q269" i="1"/>
  <c r="L269" i="1"/>
  <c r="K269" i="1"/>
  <c r="F269" i="1"/>
  <c r="Q268" i="1"/>
  <c r="L268" i="1"/>
  <c r="K268" i="1"/>
  <c r="F268" i="1"/>
  <c r="Q267" i="1"/>
  <c r="L267" i="1"/>
  <c r="K267" i="1"/>
  <c r="F267" i="1"/>
  <c r="Q266" i="1"/>
  <c r="L266" i="1"/>
  <c r="K266" i="1"/>
  <c r="F266" i="1"/>
  <c r="L265" i="1"/>
  <c r="Q264" i="1"/>
  <c r="L264" i="1"/>
  <c r="K264" i="1"/>
  <c r="F264" i="1"/>
  <c r="Q263" i="1"/>
  <c r="L263" i="1"/>
  <c r="K263" i="1"/>
  <c r="F263" i="1"/>
  <c r="Q262" i="1"/>
  <c r="L262" i="1"/>
  <c r="K262" i="1"/>
  <c r="F262" i="1"/>
  <c r="Q261" i="1"/>
  <c r="L261" i="1"/>
  <c r="K261" i="1"/>
  <c r="F261" i="1"/>
  <c r="Q260" i="1"/>
  <c r="L260" i="1"/>
  <c r="K260" i="1"/>
  <c r="F260" i="1"/>
  <c r="Q259" i="1"/>
  <c r="L259" i="1"/>
  <c r="K259" i="1"/>
  <c r="F259" i="1"/>
  <c r="Q258" i="1"/>
  <c r="L258" i="1"/>
  <c r="K258" i="1"/>
  <c r="F258" i="1"/>
  <c r="Q257" i="1"/>
  <c r="L257" i="1"/>
  <c r="K257" i="1"/>
  <c r="F257" i="1"/>
  <c r="Q256" i="1"/>
  <c r="L256" i="1"/>
  <c r="K256" i="1"/>
  <c r="F256" i="1"/>
  <c r="Q255" i="1"/>
  <c r="L255" i="1"/>
  <c r="K255" i="1"/>
  <c r="F255" i="1"/>
  <c r="Q254" i="1"/>
  <c r="L254" i="1"/>
  <c r="K254" i="1"/>
  <c r="F254" i="1"/>
  <c r="Q253" i="1"/>
  <c r="L253" i="1"/>
  <c r="K253" i="1"/>
  <c r="F253" i="1"/>
  <c r="Q252" i="1"/>
  <c r="L252" i="1"/>
  <c r="K252" i="1"/>
  <c r="F252" i="1"/>
  <c r="Q251" i="1"/>
  <c r="L251" i="1"/>
  <c r="K251" i="1"/>
  <c r="F251" i="1"/>
  <c r="Q250" i="1"/>
  <c r="L250" i="1"/>
  <c r="K250" i="1"/>
  <c r="F250" i="1"/>
  <c r="Q249" i="1"/>
  <c r="L249" i="1"/>
  <c r="K249" i="1"/>
  <c r="F249" i="1"/>
  <c r="Q248" i="1"/>
  <c r="L248" i="1"/>
  <c r="K248" i="1"/>
  <c r="F248" i="1"/>
  <c r="Q247" i="1"/>
  <c r="L247" i="1"/>
  <c r="K247" i="1"/>
  <c r="F247" i="1"/>
  <c r="Q246" i="1"/>
  <c r="L246" i="1"/>
  <c r="K246" i="1"/>
  <c r="F246" i="1"/>
  <c r="Q245" i="1"/>
  <c r="L245" i="1"/>
  <c r="K245" i="1"/>
  <c r="F245" i="1"/>
  <c r="Q244" i="1"/>
  <c r="L244" i="1"/>
  <c r="K244" i="1"/>
  <c r="F244" i="1"/>
  <c r="Q243" i="1"/>
  <c r="L243" i="1"/>
  <c r="K243" i="1"/>
  <c r="F243" i="1"/>
  <c r="Q242" i="1"/>
  <c r="L242" i="1"/>
  <c r="K242" i="1"/>
  <c r="F242" i="1"/>
  <c r="Q241" i="1"/>
  <c r="L241" i="1"/>
  <c r="K241" i="1"/>
  <c r="F241" i="1"/>
  <c r="Q240" i="1"/>
  <c r="L240" i="1"/>
  <c r="K240" i="1"/>
  <c r="F240" i="1"/>
  <c r="Q239" i="1"/>
  <c r="L239" i="1"/>
  <c r="K239" i="1"/>
  <c r="F239" i="1"/>
  <c r="Q238" i="1"/>
  <c r="L238" i="1"/>
  <c r="K238" i="1"/>
  <c r="F238" i="1"/>
  <c r="Q237" i="1"/>
  <c r="L237" i="1"/>
  <c r="K237" i="1"/>
  <c r="F237" i="1"/>
  <c r="Q236" i="1"/>
  <c r="L236" i="1"/>
  <c r="K236" i="1"/>
  <c r="F236" i="1"/>
  <c r="Q235" i="1"/>
  <c r="L235" i="1"/>
  <c r="K235" i="1"/>
  <c r="F235" i="1"/>
  <c r="Q234" i="1"/>
  <c r="L234" i="1"/>
  <c r="K234" i="1"/>
  <c r="F234" i="1"/>
  <c r="Q233" i="1"/>
  <c r="L233" i="1"/>
  <c r="K233" i="1"/>
  <c r="F233" i="1"/>
  <c r="Q232" i="1"/>
  <c r="L232" i="1"/>
  <c r="K232" i="1"/>
  <c r="F232" i="1"/>
  <c r="Q231" i="1"/>
  <c r="L231" i="1"/>
  <c r="K231" i="1"/>
  <c r="F231" i="1"/>
  <c r="Q230" i="1"/>
  <c r="L230" i="1"/>
  <c r="K230" i="1"/>
  <c r="F230" i="1"/>
  <c r="Q229" i="1"/>
  <c r="L229" i="1"/>
  <c r="K229" i="1"/>
  <c r="F229" i="1"/>
  <c r="Q228" i="1"/>
  <c r="L228" i="1"/>
  <c r="K228" i="1"/>
  <c r="F228" i="1"/>
  <c r="Q227" i="1"/>
  <c r="L227" i="1"/>
  <c r="K227" i="1"/>
  <c r="F227" i="1"/>
  <c r="Q226" i="1"/>
  <c r="L226" i="1"/>
  <c r="K226" i="1"/>
  <c r="F226" i="1"/>
  <c r="Q225" i="1"/>
  <c r="L225" i="1"/>
  <c r="K225" i="1"/>
  <c r="F225" i="1"/>
  <c r="Q224" i="1"/>
  <c r="L224" i="1"/>
  <c r="K224" i="1"/>
  <c r="F224" i="1"/>
  <c r="Q223" i="1"/>
  <c r="L223" i="1"/>
  <c r="K223" i="1"/>
  <c r="F223" i="1"/>
  <c r="Q222" i="1"/>
  <c r="L222" i="1"/>
  <c r="K222" i="1"/>
  <c r="F222" i="1"/>
  <c r="Q221" i="1"/>
  <c r="L221" i="1"/>
  <c r="K221" i="1"/>
  <c r="F221" i="1"/>
  <c r="Q220" i="1"/>
  <c r="L220" i="1"/>
  <c r="K220" i="1"/>
  <c r="F220" i="1"/>
  <c r="Q219" i="1"/>
  <c r="L219" i="1"/>
  <c r="K219" i="1"/>
  <c r="F219" i="1"/>
  <c r="Q218" i="1"/>
  <c r="L218" i="1"/>
  <c r="K218" i="1"/>
  <c r="F218" i="1"/>
  <c r="Q217" i="1"/>
  <c r="L217" i="1"/>
  <c r="K217" i="1"/>
  <c r="F217" i="1"/>
  <c r="Q216" i="1"/>
  <c r="L216" i="1"/>
  <c r="K216" i="1"/>
  <c r="F216" i="1"/>
  <c r="Q215" i="1"/>
  <c r="L215" i="1"/>
  <c r="K215" i="1"/>
  <c r="F215" i="1"/>
  <c r="Q214" i="1"/>
  <c r="L214" i="1"/>
  <c r="K214" i="1"/>
  <c r="F214" i="1"/>
  <c r="Q213" i="1"/>
  <c r="L213" i="1"/>
  <c r="K213" i="1"/>
  <c r="F213" i="1"/>
  <c r="Q212" i="1"/>
  <c r="L212" i="1"/>
  <c r="K212" i="1"/>
  <c r="F212" i="1"/>
  <c r="L211" i="1"/>
  <c r="Q210" i="1"/>
  <c r="L210" i="1"/>
  <c r="K210" i="1"/>
  <c r="F210" i="1"/>
  <c r="Q209" i="1"/>
  <c r="L209" i="1"/>
  <c r="K209" i="1"/>
  <c r="F209" i="1"/>
  <c r="Q208" i="1"/>
  <c r="L208" i="1"/>
  <c r="K208" i="1"/>
  <c r="F208" i="1"/>
  <c r="Q207" i="1"/>
  <c r="L207" i="1"/>
  <c r="K207" i="1"/>
  <c r="F207" i="1"/>
  <c r="Q206" i="1"/>
  <c r="L206" i="1"/>
  <c r="K206" i="1"/>
  <c r="F206" i="1"/>
  <c r="Q205" i="1"/>
  <c r="L205" i="1"/>
  <c r="K205" i="1"/>
  <c r="F205" i="1"/>
  <c r="Q204" i="1"/>
  <c r="L204" i="1"/>
  <c r="K204" i="1"/>
  <c r="F204" i="1"/>
  <c r="Q203" i="1"/>
  <c r="L203" i="1"/>
  <c r="K203" i="1"/>
  <c r="F203" i="1"/>
  <c r="Q202" i="1"/>
  <c r="L202" i="1"/>
  <c r="K202" i="1"/>
  <c r="F202" i="1"/>
  <c r="Q201" i="1"/>
  <c r="L201" i="1"/>
  <c r="K201" i="1"/>
  <c r="F201" i="1"/>
  <c r="Q200" i="1"/>
  <c r="L200" i="1"/>
  <c r="K200" i="1"/>
  <c r="F200" i="1"/>
  <c r="Q199" i="1"/>
  <c r="L199" i="1"/>
  <c r="K199" i="1"/>
  <c r="F199" i="1"/>
  <c r="Q198" i="1"/>
  <c r="L198" i="1"/>
  <c r="K198" i="1"/>
  <c r="F198" i="1"/>
  <c r="Q197" i="1"/>
  <c r="L197" i="1"/>
  <c r="K197" i="1"/>
  <c r="F197" i="1"/>
  <c r="Q196" i="1"/>
  <c r="L196" i="1"/>
  <c r="K196" i="1"/>
  <c r="F196" i="1"/>
  <c r="Q195" i="1"/>
  <c r="L195" i="1"/>
  <c r="K195" i="1"/>
  <c r="F195" i="1"/>
  <c r="Q194" i="1"/>
  <c r="L194" i="1"/>
  <c r="K194" i="1"/>
  <c r="F194" i="1"/>
  <c r="L193" i="1"/>
  <c r="Q192" i="1"/>
  <c r="L192" i="1"/>
  <c r="K192" i="1"/>
  <c r="F192" i="1"/>
  <c r="Q191" i="1"/>
  <c r="L191" i="1"/>
  <c r="K191" i="1"/>
  <c r="F191" i="1"/>
  <c r="Q190" i="1"/>
  <c r="L190" i="1"/>
  <c r="K190" i="1"/>
  <c r="F190" i="1"/>
  <c r="Q189" i="1"/>
  <c r="L189" i="1"/>
  <c r="K189" i="1"/>
  <c r="F189" i="1"/>
  <c r="Q188" i="1"/>
  <c r="L188" i="1"/>
  <c r="K188" i="1"/>
  <c r="F188" i="1"/>
  <c r="Q187" i="1"/>
  <c r="L187" i="1"/>
  <c r="K187" i="1"/>
  <c r="F187" i="1"/>
  <c r="Q186" i="1"/>
  <c r="L186" i="1"/>
  <c r="K186" i="1"/>
  <c r="F186" i="1"/>
  <c r="Q185" i="1"/>
  <c r="L185" i="1"/>
  <c r="K185" i="1"/>
  <c r="F185" i="1"/>
  <c r="Q184" i="1"/>
  <c r="L184" i="1"/>
  <c r="K184" i="1"/>
  <c r="F184" i="1"/>
  <c r="Q183" i="1"/>
  <c r="L183" i="1"/>
  <c r="K183" i="1"/>
  <c r="F183" i="1"/>
  <c r="Q182" i="1"/>
  <c r="L182" i="1"/>
  <c r="K182" i="1"/>
  <c r="F182" i="1"/>
  <c r="Q181" i="1"/>
  <c r="L181" i="1"/>
  <c r="K181" i="1"/>
  <c r="F181" i="1"/>
  <c r="Q180" i="1"/>
  <c r="L180" i="1"/>
  <c r="K180" i="1"/>
  <c r="F180" i="1"/>
  <c r="Q179" i="1"/>
  <c r="L179" i="1"/>
  <c r="K179" i="1"/>
  <c r="F179" i="1"/>
  <c r="Q178" i="1"/>
  <c r="L178" i="1"/>
  <c r="K178" i="1"/>
  <c r="F178" i="1"/>
  <c r="Q177" i="1"/>
  <c r="L177" i="1"/>
  <c r="K177" i="1"/>
  <c r="F177" i="1"/>
  <c r="Q176" i="1"/>
  <c r="L176" i="1"/>
  <c r="K176" i="1"/>
  <c r="F176" i="1"/>
  <c r="Q175" i="1"/>
  <c r="L175" i="1"/>
  <c r="K175" i="1"/>
  <c r="F175" i="1"/>
  <c r="Q174" i="1"/>
  <c r="L174" i="1"/>
  <c r="K174" i="1"/>
  <c r="F174" i="1"/>
  <c r="Q173" i="1"/>
  <c r="L173" i="1"/>
  <c r="K173" i="1"/>
  <c r="F173" i="1"/>
  <c r="Q172" i="1"/>
  <c r="L172" i="1"/>
  <c r="K172" i="1"/>
  <c r="F172" i="1"/>
  <c r="Q171" i="1"/>
  <c r="L171" i="1"/>
  <c r="K171" i="1"/>
  <c r="F171" i="1"/>
  <c r="Q170" i="1"/>
  <c r="L170" i="1"/>
  <c r="K170" i="1"/>
  <c r="F170" i="1"/>
  <c r="Q169" i="1"/>
  <c r="L169" i="1"/>
  <c r="K169" i="1"/>
  <c r="F169" i="1"/>
  <c r="Q168" i="1"/>
  <c r="L168" i="1"/>
  <c r="K168" i="1"/>
  <c r="F168" i="1"/>
  <c r="Q167" i="1"/>
  <c r="L167" i="1"/>
  <c r="K167" i="1"/>
  <c r="F167" i="1"/>
  <c r="Q166" i="1"/>
  <c r="L166" i="1"/>
  <c r="K166" i="1"/>
  <c r="F166" i="1"/>
  <c r="Q165" i="1"/>
  <c r="L165" i="1"/>
  <c r="K165" i="1"/>
  <c r="F165" i="1"/>
  <c r="Q164" i="1"/>
  <c r="L164" i="1"/>
  <c r="K164" i="1"/>
  <c r="F164" i="1"/>
  <c r="L163" i="1"/>
  <c r="Q162" i="1"/>
  <c r="L162" i="1"/>
  <c r="K162" i="1"/>
  <c r="F162" i="1"/>
  <c r="Q161" i="1"/>
  <c r="L161" i="1"/>
  <c r="K161" i="1"/>
  <c r="F161" i="1"/>
  <c r="Q160" i="1"/>
  <c r="L160" i="1"/>
  <c r="K160" i="1"/>
  <c r="F160" i="1"/>
  <c r="Q159" i="1"/>
  <c r="L159" i="1"/>
  <c r="K159" i="1"/>
  <c r="F159" i="1"/>
  <c r="Q158" i="1"/>
  <c r="L158" i="1"/>
  <c r="K158" i="1"/>
  <c r="F158" i="1"/>
  <c r="Q157" i="1"/>
  <c r="L157" i="1"/>
  <c r="K157" i="1"/>
  <c r="F157" i="1"/>
  <c r="Q156" i="1"/>
  <c r="L156" i="1"/>
  <c r="K156" i="1"/>
  <c r="F156" i="1"/>
  <c r="Q155" i="1"/>
  <c r="L155" i="1"/>
  <c r="K155" i="1"/>
  <c r="F155" i="1"/>
  <c r="Q154" i="1"/>
  <c r="L154" i="1"/>
  <c r="K154" i="1"/>
  <c r="F154" i="1"/>
  <c r="Q153" i="1"/>
  <c r="L153" i="1"/>
  <c r="K153" i="1"/>
  <c r="F153" i="1"/>
  <c r="Q152" i="1"/>
  <c r="L152" i="1"/>
  <c r="K152" i="1"/>
  <c r="F152" i="1"/>
  <c r="Q151" i="1"/>
  <c r="L151" i="1"/>
  <c r="K151" i="1"/>
  <c r="F151" i="1"/>
  <c r="Q150" i="1"/>
  <c r="L150" i="1"/>
  <c r="K150" i="1"/>
  <c r="F150" i="1"/>
  <c r="Q149" i="1"/>
  <c r="L149" i="1"/>
  <c r="K149" i="1"/>
  <c r="F149" i="1"/>
  <c r="Q148" i="1"/>
  <c r="L148" i="1"/>
  <c r="K148" i="1"/>
  <c r="F148" i="1"/>
  <c r="L147" i="1"/>
  <c r="Q146" i="1"/>
  <c r="L146" i="1"/>
  <c r="K146" i="1"/>
  <c r="F146" i="1"/>
  <c r="Q145" i="1"/>
  <c r="L145" i="1"/>
  <c r="K145" i="1"/>
  <c r="F145" i="1"/>
  <c r="Q144" i="1"/>
  <c r="L144" i="1"/>
  <c r="K144" i="1"/>
  <c r="F144" i="1"/>
  <c r="Q143" i="1"/>
  <c r="L143" i="1"/>
  <c r="K143" i="1"/>
  <c r="F143" i="1"/>
  <c r="Q142" i="1"/>
  <c r="L142" i="1"/>
  <c r="K142" i="1"/>
  <c r="F142" i="1"/>
  <c r="L141" i="1"/>
  <c r="Q140" i="1"/>
  <c r="L140" i="1"/>
  <c r="K140" i="1"/>
  <c r="F140" i="1"/>
  <c r="Q139" i="1"/>
  <c r="L139" i="1"/>
  <c r="K139" i="1"/>
  <c r="F139" i="1"/>
  <c r="Q138" i="1"/>
  <c r="L138" i="1"/>
  <c r="K138" i="1"/>
  <c r="F138" i="1"/>
  <c r="Q137" i="1"/>
  <c r="L137" i="1"/>
  <c r="K137" i="1"/>
  <c r="F137" i="1"/>
  <c r="Q136" i="1"/>
  <c r="L136" i="1"/>
  <c r="K136" i="1"/>
  <c r="F136" i="1"/>
  <c r="Q135" i="1"/>
  <c r="L135" i="1"/>
  <c r="K135" i="1"/>
  <c r="F135" i="1"/>
  <c r="L134" i="1"/>
  <c r="Q133" i="1"/>
  <c r="L133" i="1"/>
  <c r="K133" i="1"/>
  <c r="F133" i="1"/>
  <c r="Q132" i="1"/>
  <c r="L132" i="1"/>
  <c r="K132" i="1"/>
  <c r="F132" i="1"/>
  <c r="Q131" i="1"/>
  <c r="L131" i="1"/>
  <c r="K131" i="1"/>
  <c r="F131" i="1"/>
  <c r="Q130" i="1"/>
  <c r="L130" i="1"/>
  <c r="K130" i="1"/>
  <c r="F130" i="1"/>
  <c r="Q129" i="1"/>
  <c r="L129" i="1"/>
  <c r="K129" i="1"/>
  <c r="F129" i="1"/>
  <c r="Q128" i="1"/>
  <c r="L128" i="1"/>
  <c r="K128" i="1"/>
  <c r="F128" i="1"/>
  <c r="Q127" i="1"/>
  <c r="L127" i="1"/>
  <c r="K127" i="1"/>
  <c r="F127" i="1"/>
  <c r="Q126" i="1"/>
  <c r="L126" i="1"/>
  <c r="K126" i="1"/>
  <c r="F126" i="1"/>
  <c r="Q125" i="1"/>
  <c r="L125" i="1"/>
  <c r="K125" i="1"/>
  <c r="F125" i="1"/>
  <c r="Q124" i="1"/>
  <c r="L124" i="1"/>
  <c r="K124" i="1"/>
  <c r="F124" i="1"/>
  <c r="Q123" i="1"/>
  <c r="L123" i="1"/>
  <c r="K123" i="1"/>
  <c r="F123" i="1"/>
  <c r="Q122" i="1"/>
  <c r="L122" i="1"/>
  <c r="K122" i="1"/>
  <c r="F122" i="1"/>
  <c r="Q121" i="1"/>
  <c r="L121" i="1"/>
  <c r="K121" i="1"/>
  <c r="F121" i="1"/>
  <c r="Q120" i="1"/>
  <c r="L120" i="1"/>
  <c r="K120" i="1"/>
  <c r="F120" i="1"/>
  <c r="Q119" i="1"/>
  <c r="L119" i="1"/>
  <c r="K119" i="1"/>
  <c r="F119" i="1"/>
  <c r="Q118" i="1"/>
  <c r="L118" i="1"/>
  <c r="K118" i="1"/>
  <c r="F118" i="1"/>
  <c r="Q117" i="1"/>
  <c r="L117" i="1"/>
  <c r="K117" i="1"/>
  <c r="F117" i="1"/>
  <c r="Q116" i="1"/>
  <c r="L116" i="1"/>
  <c r="K116" i="1"/>
  <c r="F116" i="1"/>
  <c r="Q115" i="1"/>
  <c r="L115" i="1"/>
  <c r="K115" i="1"/>
  <c r="F115" i="1"/>
  <c r="Q114" i="1"/>
  <c r="L114" i="1"/>
  <c r="K114" i="1"/>
  <c r="F114" i="1"/>
  <c r="Q113" i="1"/>
  <c r="L113" i="1"/>
  <c r="K113" i="1"/>
  <c r="F113" i="1"/>
  <c r="Q112" i="1"/>
  <c r="L112" i="1"/>
  <c r="K112" i="1"/>
  <c r="F112" i="1"/>
  <c r="Q111" i="1"/>
  <c r="L111" i="1"/>
  <c r="K111" i="1"/>
  <c r="F111" i="1"/>
  <c r="Q110" i="1"/>
  <c r="L110" i="1"/>
  <c r="K110" i="1"/>
  <c r="F110" i="1"/>
  <c r="Q109" i="1"/>
  <c r="L109" i="1"/>
  <c r="K109" i="1"/>
  <c r="F109" i="1"/>
  <c r="Q108" i="1"/>
  <c r="L108" i="1"/>
  <c r="K108" i="1"/>
  <c r="F108" i="1"/>
  <c r="Q107" i="1"/>
  <c r="L107" i="1"/>
  <c r="K107" i="1"/>
  <c r="F107" i="1"/>
  <c r="Q106" i="1"/>
  <c r="L106" i="1"/>
  <c r="K106" i="1"/>
  <c r="F106" i="1"/>
  <c r="Q105" i="1"/>
  <c r="L105" i="1"/>
  <c r="K105" i="1"/>
  <c r="F105" i="1"/>
  <c r="Q104" i="1"/>
  <c r="L104" i="1"/>
  <c r="K104" i="1"/>
  <c r="F104" i="1"/>
  <c r="Q103" i="1"/>
  <c r="L103" i="1"/>
  <c r="K103" i="1"/>
  <c r="F103" i="1"/>
  <c r="Q102" i="1"/>
  <c r="L102" i="1"/>
  <c r="K102" i="1"/>
  <c r="F102" i="1"/>
  <c r="Q101" i="1"/>
  <c r="L101" i="1"/>
  <c r="K101" i="1"/>
  <c r="F101" i="1"/>
  <c r="Q100" i="1"/>
  <c r="L100" i="1"/>
  <c r="K100" i="1"/>
  <c r="F100" i="1"/>
  <c r="Q99" i="1"/>
  <c r="L99" i="1"/>
  <c r="K99" i="1"/>
  <c r="F99" i="1"/>
  <c r="Q98" i="1"/>
  <c r="L98" i="1"/>
  <c r="K98" i="1"/>
  <c r="F98" i="1"/>
  <c r="Q97" i="1"/>
  <c r="L97" i="1"/>
  <c r="K97" i="1"/>
  <c r="F97" i="1"/>
  <c r="Q96" i="1"/>
  <c r="L96" i="1"/>
  <c r="K96" i="1"/>
  <c r="F96" i="1"/>
  <c r="Q95" i="1"/>
  <c r="L95" i="1"/>
  <c r="K95" i="1"/>
  <c r="F95" i="1"/>
  <c r="Q94" i="1"/>
  <c r="L94" i="1"/>
  <c r="K94" i="1"/>
  <c r="F94" i="1"/>
  <c r="Q93" i="1"/>
  <c r="L93" i="1"/>
  <c r="K93" i="1"/>
  <c r="F93" i="1"/>
  <c r="L92" i="1"/>
  <c r="Q91" i="1"/>
  <c r="L91" i="1"/>
  <c r="K91" i="1"/>
  <c r="F91" i="1"/>
  <c r="Q90" i="1"/>
  <c r="L90" i="1"/>
  <c r="K90" i="1"/>
  <c r="F90" i="1"/>
  <c r="Q89" i="1"/>
  <c r="L89" i="1"/>
  <c r="K89" i="1"/>
  <c r="F89" i="1"/>
  <c r="Q88" i="1"/>
  <c r="L88" i="1"/>
  <c r="K88" i="1"/>
  <c r="F88" i="1"/>
  <c r="Q87" i="1"/>
  <c r="L87" i="1"/>
  <c r="K87" i="1"/>
  <c r="F87" i="1"/>
  <c r="Q86" i="1"/>
  <c r="L86" i="1"/>
  <c r="K86" i="1"/>
  <c r="F86" i="1"/>
  <c r="Q85" i="1"/>
  <c r="L85" i="1"/>
  <c r="K85" i="1"/>
  <c r="F85" i="1"/>
  <c r="Q84" i="1"/>
  <c r="L84" i="1"/>
  <c r="K84" i="1"/>
  <c r="F84" i="1"/>
  <c r="Q83" i="1"/>
  <c r="L83" i="1"/>
  <c r="K83" i="1"/>
  <c r="F83" i="1"/>
  <c r="Q82" i="1"/>
  <c r="L82" i="1"/>
  <c r="K82" i="1"/>
  <c r="F82" i="1"/>
  <c r="Q81" i="1"/>
  <c r="L81" i="1"/>
  <c r="K81" i="1"/>
  <c r="F81" i="1"/>
  <c r="Q80" i="1"/>
  <c r="L80" i="1"/>
  <c r="K80" i="1"/>
  <c r="F80" i="1"/>
  <c r="L79" i="1"/>
  <c r="Q78" i="1"/>
  <c r="L78" i="1"/>
  <c r="K78" i="1"/>
  <c r="F78" i="1"/>
  <c r="Q77" i="1"/>
  <c r="L77" i="1"/>
  <c r="K77" i="1"/>
  <c r="F77" i="1"/>
  <c r="Q76" i="1"/>
  <c r="L76" i="1"/>
  <c r="K76" i="1"/>
  <c r="F76" i="1"/>
  <c r="Q75" i="1"/>
  <c r="L75" i="1"/>
  <c r="K75" i="1"/>
  <c r="F75" i="1"/>
  <c r="Q74" i="1"/>
  <c r="L74" i="1"/>
  <c r="K74" i="1"/>
  <c r="F74" i="1"/>
  <c r="Q73" i="1"/>
  <c r="L73" i="1"/>
  <c r="K73" i="1"/>
  <c r="F73" i="1"/>
  <c r="Q72" i="1"/>
  <c r="L72" i="1"/>
  <c r="K72" i="1"/>
  <c r="F72" i="1"/>
  <c r="Q71" i="1"/>
  <c r="L71" i="1"/>
  <c r="K71" i="1"/>
  <c r="F71" i="1"/>
  <c r="Q70" i="1"/>
  <c r="L70" i="1"/>
  <c r="K70" i="1"/>
  <c r="F70" i="1"/>
  <c r="Q69" i="1"/>
  <c r="L69" i="1"/>
  <c r="K69" i="1"/>
  <c r="F69" i="1"/>
  <c r="Q68" i="1"/>
  <c r="L68" i="1"/>
  <c r="K68" i="1"/>
  <c r="F68" i="1"/>
  <c r="Q67" i="1"/>
  <c r="L67" i="1"/>
  <c r="K67" i="1"/>
  <c r="F67" i="1"/>
  <c r="Q66" i="1"/>
  <c r="L66" i="1"/>
  <c r="K66" i="1"/>
  <c r="F66" i="1"/>
  <c r="Q65" i="1"/>
  <c r="L65" i="1"/>
  <c r="K65" i="1"/>
  <c r="F65" i="1"/>
  <c r="Q64" i="1"/>
  <c r="L64" i="1"/>
  <c r="K64" i="1"/>
  <c r="F64" i="1"/>
  <c r="Q63" i="1"/>
  <c r="L63" i="1"/>
  <c r="K63" i="1"/>
  <c r="F63" i="1"/>
  <c r="Q62" i="1"/>
  <c r="L62" i="1"/>
  <c r="K62" i="1"/>
  <c r="F62" i="1"/>
  <c r="Q61" i="1"/>
  <c r="L61" i="1"/>
  <c r="K61" i="1"/>
  <c r="F61" i="1"/>
  <c r="Q60" i="1"/>
  <c r="L60" i="1"/>
  <c r="K60" i="1"/>
  <c r="F60" i="1"/>
  <c r="Q59" i="1"/>
  <c r="L59" i="1"/>
  <c r="K59" i="1"/>
  <c r="F59" i="1"/>
  <c r="Q58" i="1"/>
  <c r="L58" i="1"/>
  <c r="K58" i="1"/>
  <c r="F58" i="1"/>
  <c r="Q57" i="1"/>
  <c r="L57" i="1"/>
  <c r="K57" i="1"/>
  <c r="F57" i="1"/>
  <c r="Q56" i="1"/>
  <c r="L56" i="1"/>
  <c r="K56" i="1"/>
  <c r="F56" i="1"/>
  <c r="Q55" i="1"/>
  <c r="L55" i="1"/>
  <c r="K55" i="1"/>
  <c r="F55" i="1"/>
  <c r="Q54" i="1"/>
  <c r="L54" i="1"/>
  <c r="K54" i="1"/>
  <c r="F54" i="1"/>
  <c r="Q53" i="1"/>
  <c r="L53" i="1"/>
  <c r="K53" i="1"/>
  <c r="F53" i="1"/>
  <c r="Q52" i="1"/>
  <c r="L52" i="1"/>
  <c r="K52" i="1"/>
  <c r="F52" i="1"/>
  <c r="Q51" i="1"/>
  <c r="L51" i="1"/>
  <c r="K51" i="1"/>
  <c r="F51" i="1"/>
  <c r="Q50" i="1"/>
  <c r="L50" i="1"/>
  <c r="K50" i="1"/>
  <c r="F50" i="1"/>
  <c r="Q49" i="1"/>
  <c r="L49" i="1"/>
  <c r="K49" i="1"/>
  <c r="F49" i="1"/>
  <c r="Q48" i="1"/>
  <c r="L48" i="1"/>
  <c r="K48" i="1"/>
  <c r="F48" i="1"/>
  <c r="Q47" i="1"/>
  <c r="L47" i="1"/>
  <c r="K47" i="1"/>
  <c r="F47" i="1"/>
  <c r="Q46" i="1"/>
  <c r="L46" i="1"/>
  <c r="K46" i="1"/>
  <c r="F46" i="1"/>
  <c r="Q45" i="1"/>
  <c r="L45" i="1"/>
  <c r="K45" i="1"/>
  <c r="F45" i="1"/>
  <c r="Q44" i="1"/>
  <c r="L44" i="1"/>
  <c r="K44" i="1"/>
  <c r="F44" i="1"/>
  <c r="L43" i="1"/>
  <c r="Q42" i="1"/>
  <c r="L42" i="1"/>
  <c r="K42" i="1"/>
  <c r="F42" i="1"/>
  <c r="Q41" i="1"/>
  <c r="L41" i="1"/>
  <c r="K41" i="1"/>
  <c r="F41" i="1"/>
  <c r="Q40" i="1"/>
  <c r="L40" i="1"/>
  <c r="K40" i="1"/>
  <c r="F40" i="1"/>
  <c r="Q39" i="1"/>
  <c r="L39" i="1"/>
  <c r="K39" i="1"/>
  <c r="F39" i="1"/>
  <c r="Q38" i="1"/>
  <c r="L38" i="1"/>
  <c r="K38" i="1"/>
  <c r="F38" i="1"/>
  <c r="Q37" i="1"/>
  <c r="L37" i="1"/>
  <c r="K37" i="1"/>
  <c r="F37" i="1"/>
  <c r="Q36" i="1"/>
  <c r="L36" i="1"/>
  <c r="K36" i="1"/>
  <c r="F36" i="1"/>
  <c r="Q35" i="1"/>
  <c r="L35" i="1"/>
  <c r="K35" i="1"/>
  <c r="F35" i="1"/>
  <c r="Q34" i="1"/>
  <c r="L34" i="1"/>
  <c r="K34" i="1"/>
  <c r="F34" i="1"/>
  <c r="Q33" i="1"/>
  <c r="L33" i="1"/>
  <c r="K33" i="1"/>
  <c r="F33" i="1"/>
  <c r="Q32" i="1"/>
  <c r="L32" i="1"/>
  <c r="K32" i="1"/>
  <c r="F32" i="1"/>
  <c r="Q31" i="1"/>
  <c r="L31" i="1"/>
  <c r="K31" i="1"/>
  <c r="F31" i="1"/>
  <c r="Q30" i="1"/>
  <c r="L30" i="1"/>
  <c r="K30" i="1"/>
  <c r="F30" i="1"/>
  <c r="Q29" i="1"/>
  <c r="L29" i="1"/>
  <c r="K29" i="1"/>
  <c r="F29" i="1"/>
  <c r="Q28" i="1"/>
  <c r="L28" i="1"/>
  <c r="K28" i="1"/>
  <c r="F28" i="1"/>
  <c r="Q27" i="1"/>
  <c r="L27" i="1"/>
  <c r="K27" i="1"/>
  <c r="F27" i="1"/>
  <c r="Q26" i="1"/>
  <c r="L26" i="1"/>
  <c r="K26" i="1"/>
  <c r="F26" i="1"/>
  <c r="Q25" i="1"/>
  <c r="L25" i="1"/>
  <c r="K25" i="1"/>
  <c r="F25" i="1"/>
  <c r="Q24" i="1"/>
  <c r="L24" i="1"/>
  <c r="K24" i="1"/>
  <c r="F24" i="1"/>
  <c r="Q23" i="1"/>
  <c r="L23" i="1"/>
  <c r="K23" i="1"/>
  <c r="F23" i="1"/>
  <c r="Q22" i="1"/>
  <c r="L22" i="1"/>
  <c r="K22" i="1"/>
  <c r="F22" i="1"/>
  <c r="L21" i="1"/>
  <c r="Q20" i="1"/>
  <c r="L20" i="1"/>
  <c r="K20" i="1"/>
  <c r="F20" i="1"/>
  <c r="Q19" i="1"/>
  <c r="L19" i="1"/>
  <c r="K19" i="1"/>
  <c r="F19" i="1"/>
  <c r="Q18" i="1"/>
  <c r="L18" i="1"/>
  <c r="K18" i="1"/>
  <c r="F18" i="1"/>
  <c r="Q17" i="1"/>
  <c r="L17" i="1"/>
  <c r="K17" i="1"/>
  <c r="F17" i="1"/>
  <c r="Q16" i="1"/>
  <c r="L16" i="1"/>
  <c r="K16" i="1"/>
  <c r="F16" i="1"/>
  <c r="Q15" i="1"/>
  <c r="L15" i="1"/>
  <c r="K15" i="1"/>
  <c r="F15" i="1"/>
  <c r="Q14" i="1"/>
  <c r="L14" i="1"/>
  <c r="K14" i="1"/>
  <c r="F14" i="1"/>
  <c r="L13" i="1"/>
  <c r="Q12" i="1"/>
  <c r="L12" i="1"/>
  <c r="K12" i="1"/>
  <c r="F12" i="1"/>
  <c r="Q11" i="1"/>
  <c r="L11" i="1"/>
  <c r="K11" i="1"/>
  <c r="F11" i="1"/>
  <c r="Q10" i="1"/>
  <c r="L10" i="1"/>
  <c r="K10" i="1"/>
  <c r="F10" i="1"/>
  <c r="Q9" i="1"/>
  <c r="L9" i="1"/>
  <c r="K9" i="1"/>
  <c r="F9" i="1"/>
  <c r="Q8" i="1"/>
  <c r="L8" i="1"/>
  <c r="K8" i="1"/>
  <c r="F8" i="1"/>
  <c r="Q7" i="1"/>
  <c r="L7" i="1"/>
  <c r="K7" i="1"/>
  <c r="F7" i="1"/>
  <c r="Q6" i="1"/>
  <c r="L6" i="1"/>
  <c r="K6" i="1"/>
  <c r="F6" i="1"/>
  <c r="Q5" i="1"/>
  <c r="L5" i="1"/>
  <c r="K5" i="1"/>
  <c r="F5" i="1"/>
  <c r="L4" i="1"/>
  <c r="Q3" i="1"/>
  <c r="L3" i="1"/>
  <c r="K3" i="1"/>
  <c r="F3" i="1"/>
  <c r="L2" i="1"/>
</calcChain>
</file>

<file path=xl/sharedStrings.xml><?xml version="1.0" encoding="utf-8"?>
<sst xmlns="http://schemas.openxmlformats.org/spreadsheetml/2006/main" count="4376" uniqueCount="1741">
  <si>
    <t>Nivel</t>
  </si>
  <si>
    <t>N° Macrosserviço / Serviço</t>
  </si>
  <si>
    <t>Fonte</t>
  </si>
  <si>
    <t>Código</t>
  </si>
  <si>
    <t>Descrição Macrosserviço / Serviço</t>
  </si>
  <si>
    <t>Qtd. (valor calculado)</t>
  </si>
  <si>
    <t>Und.</t>
  </si>
  <si>
    <t>Custo Unitário Referência</t>
  </si>
  <si>
    <t>Custo Unitário</t>
  </si>
  <si>
    <t>BDI</t>
  </si>
  <si>
    <t>Preço Unitário (valor calculado)</t>
  </si>
  <si>
    <t>Preço Total (valor calculado)</t>
  </si>
  <si>
    <t>Observação</t>
  </si>
  <si>
    <t>N° Frente de Obra</t>
  </si>
  <si>
    <t>Frente de Obra</t>
  </si>
  <si>
    <t>Qtd.</t>
  </si>
  <si>
    <t>Valor</t>
  </si>
  <si>
    <t>Macrosserviço</t>
  </si>
  <si>
    <t>1</t>
  </si>
  <si>
    <t>ADMINISTRAÇÃO LOCAL</t>
  </si>
  <si>
    <t>Serviço</t>
  </si>
  <si>
    <t>1.1</t>
  </si>
  <si>
    <t>Composição</t>
  </si>
  <si>
    <t>FNDE 392</t>
  </si>
  <si>
    <t>ADMINISTRAÇÃO LOCAL TIPO 2</t>
  </si>
  <si>
    <t>UN</t>
  </si>
  <si>
    <t>Frente Única</t>
  </si>
  <si>
    <t>2</t>
  </si>
  <si>
    <t>SERVIÇOS PRELIMINARES</t>
  </si>
  <si>
    <t>2.1</t>
  </si>
  <si>
    <t>SINAPI</t>
  </si>
  <si>
    <t>103689</t>
  </si>
  <si>
    <t>FORNECIMENTO E INSTALAÇÃO DE PLACA DE OBRA COM CHAPA GALVANIZADA E ESTRUTURA DE MADEIRA. AF_03/2022_PS</t>
  </si>
  <si>
    <t>M2</t>
  </si>
  <si>
    <t>2.2</t>
  </si>
  <si>
    <t>98459</t>
  </si>
  <si>
    <t>TAPUME COM TELHA METÁLICA. AF_03/2024</t>
  </si>
  <si>
    <t>2.3</t>
  </si>
  <si>
    <t>101509</t>
  </si>
  <si>
    <t>ENTRADA DE ENERGIA ELÉTRICA, AÉREA, TRIFÁSICA, COM CAIXA DE EMBUTIR, CABO DE 10 MM2 E DISJUNTOR DIN 50A (NÃO INCLUSO O POSTE DE CONCRETO). AF_12/2025</t>
  </si>
  <si>
    <t>2.4</t>
  </si>
  <si>
    <t>FNDE 03</t>
  </si>
  <si>
    <t>LIGAÇÃO PROVISÓRIA DE ÁGUA E ESGOTO</t>
  </si>
  <si>
    <t>2.5</t>
  </si>
  <si>
    <t>99059</t>
  </si>
  <si>
    <t>LOCAÇÃO CONVENCIONAL DE OBRA, UTILIZANDO GABARITO DE TÁBUAS CORRIDAS PONTALETADAS A CADA 2,00M - 2 UTILIZAÇÕES. AF_03/2024</t>
  </si>
  <si>
    <t>M</t>
  </si>
  <si>
    <t>2.6</t>
  </si>
  <si>
    <t>FNDE 231</t>
  </si>
  <si>
    <t>LOCACAO DE CONTAINER 2,30 X 6,00 M, ALT. 2,50 M, COM 1 SANITARIO, PARA ESCRITORIO, COMPLETO, SEM DIVISORIAS INTERNAS (NAO INCLUI MOBILIZACAO/DESMOBILIZACAO)</t>
  </si>
  <si>
    <t>MÊS</t>
  </si>
  <si>
    <t>2.7</t>
  </si>
  <si>
    <t>FNDE 230</t>
  </si>
  <si>
    <t>LOCACAO DE CONTAINER 2,30 X 6,00 M, ALT. 2,50 M, PARA ESCRITORIO, SEM DIVISORIAS INTERNAS E SEM SANITARIO (NAO INCLUI MOBILIZACAO/DESMOBILIZACAO)</t>
  </si>
  <si>
    <t>2.8</t>
  </si>
  <si>
    <t>FNDE 232</t>
  </si>
  <si>
    <t>LOCACAO DE CONTAINER 2,30 X 6,00 M, ALT. 2,50 M, PARA SANITARIO, COM 4 BACIAS, 8 CHUVEIROS,1 LAVATORIO E 1 MICTORIO (NAO INCLUI MOBILIZACAO/DESMOBILIZACAO)</t>
  </si>
  <si>
    <t>3</t>
  </si>
  <si>
    <t>MOVIMENTO DE TERRA PARA FUNDAÇÕES</t>
  </si>
  <si>
    <t>3.1</t>
  </si>
  <si>
    <t>98525</t>
  </si>
  <si>
    <t>LIMPEZA MECANIZADA DE CAMADA VEGETAL, VEGETAÇÃO E PEQUENAS ÁRVORES (DIÂMETRO DE TRONCO MENOR QUE 0,20 M), COM TRATOR DE ESTEIRAS. AF_03/2024</t>
  </si>
  <si>
    <t>3.2</t>
  </si>
  <si>
    <t>94304</t>
  </si>
  <si>
    <t>ATERRO MECANIZADO DE VALA COM ESCAVADEIRA HIDRÁULICA (CAPACIDADE DA CAÇAMBA: 0,8 M³ / POTÊNCIA: 111 HP), LARGURA ATÉ 2,5 M, PROFUNDIDADE ATÉ 1,5 M, COM SOLO ARGILO-ARENOSO. AF_08/2023</t>
  </si>
  <si>
    <t>M3</t>
  </si>
  <si>
    <t>3.3</t>
  </si>
  <si>
    <t>96521</t>
  </si>
  <si>
    <t>ESCAVAÇÃO MECANIZADA PARA BLOCO DE COROAMENTO OU SAPATA COM RETROESCAVADEIRA (INCLUINDO ESCAVAÇÃO PARA COLOCAÇÃO DE FÔRMAS). AF_01/2024</t>
  </si>
  <si>
    <t>3.4</t>
  </si>
  <si>
    <t>96525</t>
  </si>
  <si>
    <t>ESCAVAÇÃO MECANIZADA PARA VIGA BALDRAME OU SAPATA CORRIDA COM MINI-ESCAVADEIRA (INCLUINDO ESCAVAÇÃO PARA COLOCAÇÃO DE FÔRMAS). AF_01/2024</t>
  </si>
  <si>
    <t>3.5</t>
  </si>
  <si>
    <t>101616</t>
  </si>
  <si>
    <t>PREPARO DE FUNDO DE VALA COM LARGURA MENOR QUE 1,5 M (ACERTO DO SOLO NATURAL), EM LOCAL COM NÍVEL BAIXO DE INTERFERÊNCIA. AF_01/2026</t>
  </si>
  <si>
    <t>3.6</t>
  </si>
  <si>
    <t>104740</t>
  </si>
  <si>
    <t>REATERRO MECANIZADO DE VALA COM MINICARREGADEIRA, COM COMPACTADOR DE SOLOS DE PERCUSSÃO. AF_08/2023</t>
  </si>
  <si>
    <t>3.7</t>
  </si>
  <si>
    <t>104738</t>
  </si>
  <si>
    <t>ATERRO MECANIZADO DE VALA COM MINICARREGADEIRA, COM SOLO ARGILO-ARENOSO. AF_08/2023</t>
  </si>
  <si>
    <t>4</t>
  </si>
  <si>
    <t>FUNDAÇÕES</t>
  </si>
  <si>
    <t>4.1</t>
  </si>
  <si>
    <t>100896</t>
  </si>
  <si>
    <t>ESTACA ESCAVADA MECANICAMENTE, SEM FLUIDO ESTABILIZANTE, COM 25CM DE DIÂMETRO, CONCRETO LANÇADO POR CAMINHÃO BETONEIRA (EXCLUSIVE MOBILIZAÇÃO E DESMOBILIZAÇÃO). AF_01/2020</t>
  </si>
  <si>
    <t>4.2</t>
  </si>
  <si>
    <t>95601</t>
  </si>
  <si>
    <t>ARRASAMENTO MECANICO DE ESTACA DE CONCRETO ARMADO, DIAMETROS DE ATÉ 40 CM. AF_05/2021</t>
  </si>
  <si>
    <t>4.3</t>
  </si>
  <si>
    <t>100898</t>
  </si>
  <si>
    <t>ESTACA ESCAVADA MECANICAMENTE, SEM FLUIDO ESTABILIZANTE, COM 60CM DE DIÂMETRO, CONCRETO LANÇADO POR CAMINHÃO BETONEIRA (EXCLUSIVE MOBILIZAÇÃO E DESMOBILIZAÇÃO). AF_01/2020</t>
  </si>
  <si>
    <t>4.4</t>
  </si>
  <si>
    <t>95602</t>
  </si>
  <si>
    <t>ARRASAMENTO MECANICO DE ESTACA DE CONCRETO ARMADO, DIAMETROS DE 41 CM A 60 CM. AF_05/2021</t>
  </si>
  <si>
    <t>4.5</t>
  </si>
  <si>
    <t>96621</t>
  </si>
  <si>
    <t>LASTRO COM MATERIAL GRANULAR, APLICAÇÃO EM BLOCOS DE COROAMENTO, ESPESSURA DE *5 CM*. AF_01/2024</t>
  </si>
  <si>
    <t>4.6</t>
  </si>
  <si>
    <t>96619</t>
  </si>
  <si>
    <t>LASTRO DE CONCRETO MAGRO, APLICADO EM BLOCOS DE COROAMENTO OU SAPATAS, ESPESSURA DE 5 CM. AF_01/2024</t>
  </si>
  <si>
    <t>4.7</t>
  </si>
  <si>
    <t>96535</t>
  </si>
  <si>
    <t>FABRICAÇÃO, MONTAGEM E DESMONTAGEM DE FÔRMA PARA SAPATA, EM MADEIRA SERRADA, E=25 MM, 4 UTILIZAÇÕES. AF_01/2024</t>
  </si>
  <si>
    <t>4.8</t>
  </si>
  <si>
    <t>104918</t>
  </si>
  <si>
    <t>ARMAÇÃO DE SAPATA ISOLADA, VIGA BALDRAME E SAPATA CORRIDA UTILIZANDO AÇO CA-50 DE 8 MM - MONTAGEM. AF_01/2024</t>
  </si>
  <si>
    <t>KG</t>
  </si>
  <si>
    <t>4.9</t>
  </si>
  <si>
    <t>104919</t>
  </si>
  <si>
    <t>ARMAÇÃO DE SAPATA ISOLADA, VIGA BALDRAME E SAPATA CORRIDA UTILIZANDO AÇO CA-50 DE 10 MM - MONTAGEM. AF_01/2024</t>
  </si>
  <si>
    <t>4.10</t>
  </si>
  <si>
    <t>104916</t>
  </si>
  <si>
    <t>ARMAÇÃO DE SAPATA ISOLADA, VIGA BALDRAME E SAPATA CORRIDA UTILIZANDO AÇO CA-60 DE 5 MM - MONTAGEM. AF_01/2024</t>
  </si>
  <si>
    <t>4.11</t>
  </si>
  <si>
    <t>96558</t>
  </si>
  <si>
    <t>CONCRETAGEM DE SAPATA, FCK 30 MPA, COM USO DE BOMBA - LANÇAMENTO, ADENSAMENTO E ACABAMENTO. AF_01/2024</t>
  </si>
  <si>
    <t>4.12</t>
  </si>
  <si>
    <t>4.13</t>
  </si>
  <si>
    <t>4.14</t>
  </si>
  <si>
    <t>96534</t>
  </si>
  <si>
    <t>FABRICAÇÃO, MONTAGEM E DESMONTAGEM DE FÔRMA PARA BLOCO DE COROAMENTO, EM MADEIRA SERRADA, E=25 MM, 4 UTILIZAÇÕES. AF_01/2024</t>
  </si>
  <si>
    <t>4.15</t>
  </si>
  <si>
    <t>96544</t>
  </si>
  <si>
    <t>ARMAÇÃO DE BLOCO UTILIZANDO AÇO CA-50 DE 6,3 MM - MONTAGEM. AF_01/2024</t>
  </si>
  <si>
    <t>4.16</t>
  </si>
  <si>
    <t>96546</t>
  </si>
  <si>
    <t>ARMAÇÃO DE BLOCO UTILIZANDO AÇO CA-50 DE 10 MM - MONTAGEM. AF_01/2024</t>
  </si>
  <si>
    <t>4.17</t>
  </si>
  <si>
    <t>104920</t>
  </si>
  <si>
    <t>ARMAÇÃO DE BLOCO, SAPATA ISOLADA, VIGA BALDRAME E SAPATA CORRIDA UTILIZANDO AÇO CA-50 DE 12,5 MM - MONTAGEM. AF_01/2024</t>
  </si>
  <si>
    <t>4.18</t>
  </si>
  <si>
    <t>104921</t>
  </si>
  <si>
    <t>ARMAÇÃO DE BLOCO, SAPATA ISOLADA, VIGA BALDRAME E SAPATA CORRIDA UTILIZANDO AÇO CA-50 DE 16 MM - MONTAGEM. AF_01/2024</t>
  </si>
  <si>
    <t>4.19</t>
  </si>
  <si>
    <t>104922</t>
  </si>
  <si>
    <t>ARMAÇÃO DE BLOCO, SAPATA ISOLADA E SAPATA CORRIDA UTILIZANDO AÇO CA-50 DE 20 MM - MONTAGEM. AF_01/2024</t>
  </si>
  <si>
    <t>4.20</t>
  </si>
  <si>
    <t>96543</t>
  </si>
  <si>
    <t>ARMAÇÃO DE BLOCO UTILIZANDO AÇO CA-60 DE 5 MM - MONTAGEM. AF_01/2024</t>
  </si>
  <si>
    <t>4.21</t>
  </si>
  <si>
    <t>96557</t>
  </si>
  <si>
    <t>CONCRETAGEM DE BLOCO DE COROAMENTO OU VIGA BALDRAME, FCK 30 MPA, COM USO DE BOMBA - LANÇAMENTO, ADENSAMENTO E ACABAMENTO. AF_01/2024</t>
  </si>
  <si>
    <t>5</t>
  </si>
  <si>
    <t>SUPERESTRUTURA</t>
  </si>
  <si>
    <t>5.1</t>
  </si>
  <si>
    <t>5.2</t>
  </si>
  <si>
    <t>5.3</t>
  </si>
  <si>
    <t>96536</t>
  </si>
  <si>
    <t>FABRICAÇÃO, MONTAGEM E DESMONTAGEM DE FÔRMA PARA VIGA BALDRAME, EM MADEIRA SERRADA, E=25 MM, 4 UTILIZAÇÕES. AF_01/2024</t>
  </si>
  <si>
    <t>5.4</t>
  </si>
  <si>
    <t>5.5</t>
  </si>
  <si>
    <t>5.6</t>
  </si>
  <si>
    <t>5.7</t>
  </si>
  <si>
    <t>5.8</t>
  </si>
  <si>
    <t>5.9</t>
  </si>
  <si>
    <t>92443</t>
  </si>
  <si>
    <t>MONTAGEM E DESMONTAGEM DE FÔRMA DE PILARES RETANGULARES E ESTRUTURAS SIMILARES, PÉ-DIREITO SIMPLES, EM CHAPA DE MADEIRA COMPENSADA PLASTIFICADA, 18 UTILIZAÇÕES. AF_09/2020</t>
  </si>
  <si>
    <t>5.10</t>
  </si>
  <si>
    <t>92762</t>
  </si>
  <si>
    <t>ARMAÇÃO DE PILAR OU VIGA DE ESTRUTURA CONVENCIONAL DE CONCRETO ARMADO UTILIZANDO AÇO CA-50 DE 10,0 MM - MONTAGEM. AF_06/2022</t>
  </si>
  <si>
    <t>5.11</t>
  </si>
  <si>
    <t>92763</t>
  </si>
  <si>
    <t>ARMAÇÃO DE PILAR OU VIGA DE ESTRUTURA CONVENCIONAL DE CONCRETO ARMADO UTILIZANDO AÇO CA-50 DE 12,5 MM - MONTAGEM. AF_06/2022</t>
  </si>
  <si>
    <t>5.12</t>
  </si>
  <si>
    <t>92759</t>
  </si>
  <si>
    <t>ARMAÇÃO DE PILAR OU VIGA DE ESTRUTURA CONVENCIONAL DE CONCRETO ARMADO UTILIZANDO AÇO CA-60 DE 5,0 MM - MONTAGEM. AF_06/2022</t>
  </si>
  <si>
    <t>5.13</t>
  </si>
  <si>
    <t>FNDE 239</t>
  </si>
  <si>
    <t>CONCRETAGEM DE PILARES, FCK = 30 MPA, COM USO DE BOMBA - LANÇAMENTO, ADENSAMENTO E ACABAMENTO.</t>
  </si>
  <si>
    <t>5.14</t>
  </si>
  <si>
    <t>92479</t>
  </si>
  <si>
    <t>MONTAGEM E DESMONTAGEM DE FÔRMA DE VIGA, ESCORAMENTO COM GARFO DE MADEIRA, PÉ-DIREITO SIMPLES, EM CHAPA DE MADEIRA PLASTIFICADA, 18 UTILIZAÇÕES. AF_09/2020</t>
  </si>
  <si>
    <t>5.15</t>
  </si>
  <si>
    <t>92761</t>
  </si>
  <si>
    <t>ARMAÇÃO DE PILAR OU VIGA DE ESTRUTURA CONVENCIONAL DE CONCRETO ARMADO UTILIZANDO AÇO CA-50 DE 8,0 MM - MONTAGEM. AF_06/2022</t>
  </si>
  <si>
    <t>5.16</t>
  </si>
  <si>
    <t>5.17</t>
  </si>
  <si>
    <t>5.18</t>
  </si>
  <si>
    <t>5.19</t>
  </si>
  <si>
    <t>FNDE 240</t>
  </si>
  <si>
    <t>CONCRETAGEM DE VIGAS E LAJES, FCK=30 MPA, PARA LAJES MACIÇAS OU NERVURADAS COM USO DE BOMBA - LANÇAMENTO, ADENSAMENTO E ACABAMENTO.</t>
  </si>
  <si>
    <t>5.20</t>
  </si>
  <si>
    <t>97083</t>
  </si>
  <si>
    <t>COMPACTAÇÃO MECÂNICA DE SOLO PARA EXECUÇÃO DE RADIER, PISO DE CONCRETO OU LAJE SOBRE SOLO, COM COMPACTADOR DE SOLOS A PERCUSSÃO. AF_09/2021</t>
  </si>
  <si>
    <t>5.21</t>
  </si>
  <si>
    <t>96624</t>
  </si>
  <si>
    <t>LASTRO COM MATERIAL GRANULAR (PEDRA BRITADA N.2), APLICADO EM PISOS OU LAJES SOBRE SOLO, ESPESSURA DE *10 CM*. AF_01/2024</t>
  </si>
  <si>
    <t>5.22</t>
  </si>
  <si>
    <t>97087</t>
  </si>
  <si>
    <t>CAMADA SEPARADORA PARA EXECUÇÃO DE RADIER, PISO DE CONCRETO OU LAJE SOBRE SOLO, EM LONA PLÁSTICA. AF_09/2021</t>
  </si>
  <si>
    <t>5.23</t>
  </si>
  <si>
    <t>97086</t>
  </si>
  <si>
    <t>FABRICAÇÃO, MONTAGEM E DESMONTAGEM DE FORMA PARA RADIER, PISO DE CONCRETO OU LAJE SOBRE SOLO, EM MADEIRA SERRADA, 4 UTILIZAÇÕES. AF_09/2021</t>
  </si>
  <si>
    <t>5.24</t>
  </si>
  <si>
    <t>97091</t>
  </si>
  <si>
    <t>ARMAÇÃO PARA EXECUÇÃO DE RADIER, PISO DE CONCRETO OU LAJE SOBRE SOLO, COM USO DE TELA Q-159. AF_09/2021</t>
  </si>
  <si>
    <t>5.25</t>
  </si>
  <si>
    <t>97096</t>
  </si>
  <si>
    <t>CONCRETAGEM DE RADIER, PISO DE CONCRETO OU LAJE SOBRE SOLO, FCK 30 MPA - LANÇAMENTO, ADENSAMENTO E ACABAMENTO. AF_09/2021</t>
  </si>
  <si>
    <t>5.26</t>
  </si>
  <si>
    <t>97097</t>
  </si>
  <si>
    <t>ACABAMENTO POLIDO PARA PISO DE CONCRETO ARMADO OU LAJE SOBRE SOLO DE ALTA RESISTÊNCIA. AF_09/2021</t>
  </si>
  <si>
    <t>5.27</t>
  </si>
  <si>
    <t>92538</t>
  </si>
  <si>
    <t>MONTAGEM E DESMONTAGEM DE FÔRMA DE LAJE MACIÇA, PÉ-DIREITO SIMPLES, EM CHAPA DE MADEIRA COMPENSADA PLASTIFICADA, 18 UTILIZAÇÕES. AF_09/2020</t>
  </si>
  <si>
    <t>5.28</t>
  </si>
  <si>
    <t>92769</t>
  </si>
  <si>
    <t>ARMAÇÃO DE LAJE DE ESTRUTURA CONVENCIONAL DE CONCRETO ARMADO UTILIZANDO AÇO CA-50 DE 6,3 MM - MONTAGEM. AF_06/2022</t>
  </si>
  <si>
    <t>5.29</t>
  </si>
  <si>
    <t>92770</t>
  </si>
  <si>
    <t>ARMAÇÃO DE LAJE DE ESTRUTURA CONVENCIONAL DE CONCRETO ARMADO UTILIZANDO AÇO CA-50 DE 8,0 MM - MONTAGEM. AF_06/2022</t>
  </si>
  <si>
    <t>5.30</t>
  </si>
  <si>
    <t>92768</t>
  </si>
  <si>
    <t>ARMAÇÃO DE LAJE DE ESTRUTURA CONVENCIONAL DE CONCRETO ARMADO UTILIZANDO AÇO CA-60 DE 5,0 MM - MONTAGEM. AF_06/2022</t>
  </si>
  <si>
    <t>5.31</t>
  </si>
  <si>
    <t>5.32</t>
  </si>
  <si>
    <t>FNDE 607</t>
  </si>
  <si>
    <t>ESTRUTURA TRELIÇADA DE COBERTURA, INCLUSOS PERFIS METÁLICOS, CHAPA METÁLICAS, MÃO DE OBRA E TRANSPORTE COM GUINDASTE - FORNECIMENTO E INSTALAÇÃO</t>
  </si>
  <si>
    <t>5.33</t>
  </si>
  <si>
    <t>100723</t>
  </si>
  <si>
    <t>PINTURA COM TINTA ALQUÍDICA DE FUNDO E ACABAMENTO (ESMALTE SINTÉTICO GRAFITE) PULVERIZADA SOBRE PERFIL METÁLICO EXECUTADO EM FÁBRICA (POR DEMÃO). AF_01/2020_PE</t>
  </si>
  <si>
    <t>5.34</t>
  </si>
  <si>
    <t>100719</t>
  </si>
  <si>
    <t>PINTURA COM TINTA ALQUÍDICA DE FUNDO (TIPO ZARCÃO) PULVERIZADA SOBRE PERFIL METÁLICO EXECUTADO EM FÁBRICA (POR DEMÃO). AF_01/2020_PE</t>
  </si>
  <si>
    <t>5.35</t>
  </si>
  <si>
    <t>100739</t>
  </si>
  <si>
    <t>PINTURA COM TINTA ALQUÍDICA DE ACABAMENTO (ESMALTE SINTÉTICO ACETINADO) PULVERIZADA SOBRE PERFIL METÁLICO EXECUTADO EM FÁBRICA (POR DEMÃO). AF_01/2020_PE</t>
  </si>
  <si>
    <t>6</t>
  </si>
  <si>
    <t>SISTEMA DE VEDAÇÃO VERTICAL</t>
  </si>
  <si>
    <t>6.1</t>
  </si>
  <si>
    <t>101161</t>
  </si>
  <si>
    <t>ALVENARIA DE VEDAÇÃO COM ELEMENTO VAZADO DE CONCRETO (COBOGÓ) DE 7X50X50CM E ARGAMASSA DE ASSENTAMENTO COM PREPARO EM BETONEIRA. AF_05/2020</t>
  </si>
  <si>
    <t>6.2</t>
  </si>
  <si>
    <t>103368</t>
  </si>
  <si>
    <t>ALVENARIA DE VEDAÇÃO DE BLOCOS CERÂMICOS FURADOS NA HORIZONTAL DE 14X19X39 CM (ESPESSURA 14 CM) E ARGAMASSA DE ASSENTAMENTO COM PREPARO EM BETONEIRA. AF_12/2021</t>
  </si>
  <si>
    <t>6.3</t>
  </si>
  <si>
    <t>103364</t>
  </si>
  <si>
    <t>ALVENARIA DE VEDAÇÃO DE BLOCOS CERÂMICOS FURADOS NA HORIZONTAL DE 9X19X39 CM (ESPESSURA 9 CM) E ARGAMASSA DE ASSENTAMENTO COM PREPARO EM BETONEIRA. AF_12/2021</t>
  </si>
  <si>
    <t>6.4</t>
  </si>
  <si>
    <t>103328</t>
  </si>
  <si>
    <t>ALVENARIA DE VEDAÇÃO DE BLOCOS CERÂMICOS FURADOS NA HORIZONTAL DE 9X19X19 CM (ESPESSURA 9 CM) E ARGAMASSA DE ASSENTAMENTO COM PREPARO EM BETONEIRA. AF_12/2021</t>
  </si>
  <si>
    <t>6.5</t>
  </si>
  <si>
    <t>101159</t>
  </si>
  <si>
    <t>ALVENARIA DE VEDAÇÃO DE BLOCOS CERÂMICOS MACIÇOS DE 5X10X20CM (ESPESSURA 10CM) E ARGAMASSA DE ASSENTAMENTO COM PREPARO EM BETONEIRA. AF_05/2020</t>
  </si>
  <si>
    <t>6.6</t>
  </si>
  <si>
    <t>93200</t>
  </si>
  <si>
    <t>FIXAÇÃO (ENCUNHAMENTO) DE ALVENARIA DE VEDAÇÃO COM ARGAMASSA APLICADA COM BISNAGA. AF_03/2024</t>
  </si>
  <si>
    <t>6.7</t>
  </si>
  <si>
    <t>105024</t>
  </si>
  <si>
    <t>VERGA MOLDADA IN LOCO EM CONCRETO, ESPESSURA DE *10* CM. AF_03/2024</t>
  </si>
  <si>
    <t>6.8</t>
  </si>
  <si>
    <t>105023</t>
  </si>
  <si>
    <t>VERGA MOLDADA IN LOCO EM CONCRETO, ESPESSURA DE *15* CM. AF_03/2024</t>
  </si>
  <si>
    <t>6.9</t>
  </si>
  <si>
    <t>105030</t>
  </si>
  <si>
    <t>CONTRAVERGA MOLDADA IN LOCO EM CONCRETO, ESPESSURA DE *10* CM. AF_03/2024</t>
  </si>
  <si>
    <t>6.10</t>
  </si>
  <si>
    <t>105029</t>
  </si>
  <si>
    <t>CONTRAVERGA MOLDADA IN LOCO EM CONCRETO, ESPESSURA DE *15* CM. AF_03/2024</t>
  </si>
  <si>
    <t>6.11</t>
  </si>
  <si>
    <t>102253</t>
  </si>
  <si>
    <t>DIVISORIA SANITÁRIA, EM GRANITO CINZA POLIDO, ESP = 3CM, ASSENTADO COM ARGAMASSA COLANTE AC III-E. AF_10/2025</t>
  </si>
  <si>
    <t>6.12</t>
  </si>
  <si>
    <t>102181</t>
  </si>
  <si>
    <t>INSTALAÇÃO DE VIDRO TEMPERADO, E = 10 MM, ENCAIXADO EM PERFIL U. AF_11/2025</t>
  </si>
  <si>
    <t>7</t>
  </si>
  <si>
    <t>ESQUADRIAS</t>
  </si>
  <si>
    <t>7.1</t>
  </si>
  <si>
    <t>FNDE 243</t>
  </si>
  <si>
    <t>PM1 - KIT DE PORTA DE MADEIRA FRISADA, SEMI-OCA (LEVE OU MÉDIA), PADRÃO MÉDIO, 80X210CM, ESPESSURA DE 3,5CM, ITENS INCLUSOS: DOBRADIÇAS, MONTAGEM E INSTALAÇÃO DE BATENTE, FECHADURA COM EXECUÇÃO DO FURO - FORNECIMENTO E INSTALAÇÃO</t>
  </si>
  <si>
    <t>7.2</t>
  </si>
  <si>
    <t>FNDE 247</t>
  </si>
  <si>
    <t>PM 2 - KIT DE PORTA DE MADEIRA COM VENEZIANA, 80X210CM (ESPESSURA DE 3CM), PADRÃO MÉDIO, ITENS INCLUSOS: DOBRADIÇAS, MONTAGEM E INSTALAÇÃO DE BATENTE, FECHADURA COM EXECUÇÃO DO FURO - FORNECIMENTO E INSTALAÇÃO</t>
  </si>
  <si>
    <t>7.3</t>
  </si>
  <si>
    <t>FNDE 246</t>
  </si>
  <si>
    <t>PM3 - KIT DE PORTA DE MADEIRA FRISADA, SEMI-OCA (LEVE OU MÉDIA), PADRÃO MÉDIO, 80X210CM, ESPESSURA DE 3,5CM, ITENS INCLUSOS: DOBRADIÇAS, MONTAGEM E INSTALAÇÃO DE BATENTE, FECHADURA COM EXECUÇÃO DO FURO - FORNECIMENTO E INSTALAÇÃO.</t>
  </si>
  <si>
    <t>7.4</t>
  </si>
  <si>
    <t>FNDE 248</t>
  </si>
  <si>
    <t>PM4 - KIT DE PORTA DE MADEIRA COM VISOR DE VIDRO, 80X210CM (ESPESSURA DE 3CM), PADRÃO POPULAR, ITENS INCLUSOS: DOBRADIÇAS, MONTAGEM E INSTALAÇÃO DE BATENTE, FECHADURA COM EXECUÇÃO DO FURO - FORNECIMENTO E INSTALAÇÃO.</t>
  </si>
  <si>
    <t>7.5</t>
  </si>
  <si>
    <t>FNDE 249</t>
  </si>
  <si>
    <t>PM5 -PORTA EM COMPENSADO DE MADEIRA E=2cm REVESTIDA COM LAMINADO MELAMÍNICO, 60x105CM NAS CORES: AMARELA, VERDE, LARANJA E AZUL</t>
  </si>
  <si>
    <t>7.6</t>
  </si>
  <si>
    <t>FNDE 250</t>
  </si>
  <si>
    <t>INSTALAÇÃO DE VIDRO LISO INCOLOR ESQUADRIA PM4 , E = 6 MM, EM ESQUADRIA DE MADEIRA, FIXADO COM BAGUETE</t>
  </si>
  <si>
    <t>7.7</t>
  </si>
  <si>
    <t>100705</t>
  </si>
  <si>
    <t>TARJETA TIPO LIVRE/OCUPADO PARA PORTA DE BANHEIRO. AF_10/2025</t>
  </si>
  <si>
    <t>7.8</t>
  </si>
  <si>
    <t>100866</t>
  </si>
  <si>
    <t>BARRA DE APOIO RETA, EM ACO INOX POLIDO, COMPRIMENTO 60CM, FIXADA NA PAREDE - FORNECIMENTO E INSTALAÇÃO. AF_01/2020</t>
  </si>
  <si>
    <t>7.9</t>
  </si>
  <si>
    <t>FNDE 04</t>
  </si>
  <si>
    <t>CHAPA METÁLICA (ALUMÍNIO) 0,90 M X 0,40 M, ESPESSURA 1 MM PARA AS PORTAS</t>
  </si>
  <si>
    <t>7.10</t>
  </si>
  <si>
    <t>102219</t>
  </si>
  <si>
    <t>PINTURA TINTA DE ACABAMENTO (PIGMENTADA) ESMALTE SINTÉTICO ACETINADO EM MADEIRA, 2 DEMÃOS. AF_01/2021</t>
  </si>
  <si>
    <t>7.11</t>
  </si>
  <si>
    <t>FNDE 251</t>
  </si>
  <si>
    <t>PORTA DE ABRIR - PA1 - 100 X 210 CM EM CHAPA DE ALUMÍNIO, COM VENEZIANA E VIDRO MINIBOREAL 6 MM, INCLUSO FECHADURA E PUXADOR - CONFORME PROJETO DE ESQUADRIAS</t>
  </si>
  <si>
    <t>7.12</t>
  </si>
  <si>
    <t>FNDE 252</t>
  </si>
  <si>
    <t>PORTA DE ABRIR - PA2 - 80 X 210 CM EM CHAPA DE ALUMÍNIO, TIPO VENEZIANA COM GUARNIÇÃO, FIXAÇÃO COM PARAFUSOS - FORNECIMENTO E INSTALAÇÃO - CONFORME PROJETO DE ESQUADRIAS</t>
  </si>
  <si>
    <t>7.13</t>
  </si>
  <si>
    <t>FNDE 253</t>
  </si>
  <si>
    <t>PORTA DE ABRIR 2 FOLHAS - PA3 - 160 X 210 CM EM CHAPA DE ALUMÍNIO, TIPO VENEZIANA COM GUARNIÇÃO, FIXAÇÃO COM PARAFUSOS - FORNECIMENTO E INSTALAÇÃO - CONFORME PROJETO DE ESQUADRIAS</t>
  </si>
  <si>
    <t>7.14</t>
  </si>
  <si>
    <t>FNDE 254</t>
  </si>
  <si>
    <t>PORTA DE CORRER - PA4- 450 X 265 CM, DE ALUMÍNIO, COM DUAS FOLHAS FIXAS E DUAS FOLHAS DE CORRER PARA VIDRO, INCLUSO VIDRO LISO INCOLOR 8 MM, FECHADURA E PUXADOR, SEM ALIZAR - CONFORME PROJETO DE ESQUADRIAS</t>
  </si>
  <si>
    <t>7.15</t>
  </si>
  <si>
    <t>FNDE 582</t>
  </si>
  <si>
    <t>PORTA DE ABRIR 2 FOLHAS - PA5 - 110 X 170 CM EM CHAPA DE ALUMÍNIO, TIPO VENEZIANA COM GUARNIÇÃO, FIXAÇÃO COM PARAFUSOS - FORNECIMENTO E INSTALAÇÃO - CONFORME PROJETO DE ESQUADRIAS</t>
  </si>
  <si>
    <t>7.16</t>
  </si>
  <si>
    <t>FNDE 258</t>
  </si>
  <si>
    <t>JANELA DE ALUMÍNIO - JA-1 - 70 X 125 CM, TIPO GUILHOTINA COMPLETA, COM VIDROS, BATENTE E FERRAGENS. EXCLUSIVE ALIZAR, ACABAMENTO E CONTRAMARCO, CONFORME PROJETO DE ESQUADRIAS</t>
  </si>
  <si>
    <t>7.17</t>
  </si>
  <si>
    <t>FNDE 583</t>
  </si>
  <si>
    <t>JANELA DE ALUMÍNIO - JA-2 - 110 X 195 CM, TIPO GUILHOTINACOMPLETA, COM VIDROS, BATENTE E FERRAGENS. EXCLUSIVE ALIZAR, ACABAMENTO E CONTRAMARCO, CONFORME PROJETO DE ESQUADRIAS</t>
  </si>
  <si>
    <t>7.18</t>
  </si>
  <si>
    <t>FNDE 584</t>
  </si>
  <si>
    <t>JANELA DE ALUMÍNIO - JA-3 - 140 X 195 CM, TIPO GUILHOTINA COMPLETA, COM VIDROS, BATENTE E FERRAGENS. EXCLUSIVE ALIZAR, ACABAMENTO E CONTRAMARCO, CONFORME PROJETO DE ESQUADRIAS</t>
  </si>
  <si>
    <t>7.19</t>
  </si>
  <si>
    <t>FNDE 585</t>
  </si>
  <si>
    <t>JANELA DE ALUMÍNIO JA-4 - 200 X 128 CM, TIPO FIXA, PARA VIDRO, COM VIDRO, BATENTE E FERRAGENS. EXCLUSIVE ACABAMENTO, ALIZAR E CONTRAMARCO, CONFORME PROJETO DE ESQUADRIAS</t>
  </si>
  <si>
    <t>7.20</t>
  </si>
  <si>
    <t>FNDE 586</t>
  </si>
  <si>
    <t>JANELA DE ALUMÍNIO - JA-5 - 210 X 50 CM, TIPO MAXIM-AR, COM VIDROS, BATENTE E FERRAGENS. EXCLUSIVE ALIZAR, ACABAMENTO E CONTRAMARCO, CONFORME PROJETO DE ESQUADRIAS</t>
  </si>
  <si>
    <t>7.21</t>
  </si>
  <si>
    <t>FNDE 587</t>
  </si>
  <si>
    <t>JANELA DE ALUMÍNIO - JA-6 - 210 X 75 CM, TIPO MAXIM-AR, COM VIDROS, BATENTE E FERRAGENS. EXCLUSIVE ALIZAR, ACABAMENTO E CONTRAMARCO, CONFORME PROJETO DE ESQUADRIAS</t>
  </si>
  <si>
    <t>7.22</t>
  </si>
  <si>
    <t>FNDE 588</t>
  </si>
  <si>
    <t>JANELA DE ALUMÍNIO - JA-7 - 210 X 100 CM, TIPO MAXIM-AR, COM VIDROS, BATENTE E FERRAGENS. EXCLUSIVE ALIZAR, ACABAMENTO E CONTRAMARCO, CONFORME PROJETO DE ESQUADRIAS</t>
  </si>
  <si>
    <t>7.23</t>
  </si>
  <si>
    <t>FNDE 589</t>
  </si>
  <si>
    <t>JANELA DE ALUMÍNIO - JA-8 - 210 X 150 CM, TIPO MAXIM-AR, COM VIDROS, BATENTE E FERRAGENS. EXCLUSIVE ALIZAR, ACABAMENTO E CONTRAMARCO, CONFORME PROJETO DE ESQUADRIAS</t>
  </si>
  <si>
    <t>7.24</t>
  </si>
  <si>
    <t>FNDE 592</t>
  </si>
  <si>
    <t>JANELA DE ALUMÍNIO - JA-9 - 70 X 75 CM, TIPO MAXIM-AR, COM VIDROS, BATENTE E FERRAGENS. EXCLUSIVE ALIZAR, ACABAMENTO E CONTRAMARCO, CONFORME PROJETO DE ESQUADRIAS</t>
  </si>
  <si>
    <t>7.25</t>
  </si>
  <si>
    <t>FNDE 593</t>
  </si>
  <si>
    <t>JANELA DE ALUMÍNIO - JA-10 - 135 X 75 CM, TIPO MAXIM-AR, COM VIDROS, BATENTE E FERRAGENS. EXCLUSIVE ALIZAR, ACABAMENTO E CONTRAMARCO, CONFORME PROJETO DE ESQUADRIAS</t>
  </si>
  <si>
    <t>7.26</t>
  </si>
  <si>
    <t>FNDE 590</t>
  </si>
  <si>
    <t>JANELA DE ALUMÍNIO - JA-11 - 420 X 50 CM, TIPO MAXIM-AR, COM VIDROS, BATENTE E FERRAGENS. EXCLUSIVE ALIZAR, ACABAMENTO E CONTRAMARCO, CONFORME PROJETO DE ESQUADRIAS</t>
  </si>
  <si>
    <t>7.27</t>
  </si>
  <si>
    <t>FNDE 591</t>
  </si>
  <si>
    <t>JANELA DE ALUMÍNIO - JA-12 - 560 X 100 CM, TIPO MAXIM-AR, COM VIDROS, BATENTE E FERRAGENS. EXCLUSIVE ALIZAR, ACABAMENTO E CONTRAMARCO, CONFORME PROJETO DE ESQUADRIAS</t>
  </si>
  <si>
    <t>7.28</t>
  </si>
  <si>
    <t>FNDE 594</t>
  </si>
  <si>
    <t>JANELA DE ALUMÍNIO - JA-13 - 60 X 20 CM, COM MALHA DE 3 A 7 MM</t>
  </si>
  <si>
    <t>7.29</t>
  </si>
  <si>
    <t>FNDE 595</t>
  </si>
  <si>
    <t>JANELA DE ALUMÍNIO - JA-14 - 120 X 20 CM, COM MALHA DE 3 A 7 MM</t>
  </si>
  <si>
    <t>7.30</t>
  </si>
  <si>
    <t>25.20.020</t>
  </si>
  <si>
    <t>TELA DE PROTEÇÃO TIPO MOSQUITEIRA REMOVÍVEL, EM FIBRA DE VIDRO COM REVESTIMENTO EM PVC E REQUADRO EM ALUMÍNIO</t>
  </si>
  <si>
    <t>7.31</t>
  </si>
  <si>
    <t>FNDE 279</t>
  </si>
  <si>
    <t>PORTA DE VIDRO - PV1 - 185 X 230 CM, DE ABRIR DUAS FOLHAS TEMPERADO INCOLOR 10 MM, CONFORME PROJETO</t>
  </si>
  <si>
    <t>7.32</t>
  </si>
  <si>
    <t>FNDE 280</t>
  </si>
  <si>
    <t>PF1 - PORTÃO METÁLICO DE ABRIR, 1,40 X 2,20 M, COM CHAPA METÁLICA, INCLUSO PINTURA, CONFORME PROJETO DE ESQUADRIAS</t>
  </si>
  <si>
    <t>7.33</t>
  </si>
  <si>
    <t>FNDE 08</t>
  </si>
  <si>
    <t>PF2 - PORTÃO METÁLICO DE ABRIR, 1,40 X 1,05 M, COM CHAPA METÁLICA, INCLUSO PINTURA, CONFORME PROJETO DE ESQUADRIAS</t>
  </si>
  <si>
    <t>7.34</t>
  </si>
  <si>
    <t>FNDE 281</t>
  </si>
  <si>
    <t>FECHAMENTO EM CHAPA METÁLICA PERFURADA, INCLUSO PINTURA, CONFORME PROJETO</t>
  </si>
  <si>
    <t>7.35</t>
  </si>
  <si>
    <t>FNDE 282</t>
  </si>
  <si>
    <t>GUARDA-CORPO CONFECCIONADO COM CHAPA METÁLICA PERFURADA, INCLUSO PINTURA, CONFORME PROJETO</t>
  </si>
  <si>
    <t>7.36</t>
  </si>
  <si>
    <t>FNDE 60</t>
  </si>
  <si>
    <t>FECHAMENTO DE PLATIBANDA EM CHAPA METÁLICA PERFURADA, INCLUSO PINTURA, CONFORME PROJETO</t>
  </si>
  <si>
    <t>7.37</t>
  </si>
  <si>
    <t>FNDE 283</t>
  </si>
  <si>
    <t>CERCA/GRADIL H=1,58M, MALHA 5 X 15CM - GALVANIZADO</t>
  </si>
  <si>
    <t>7.38</t>
  </si>
  <si>
    <t>FNDE 284</t>
  </si>
  <si>
    <t>P01 - PORTÃO METÁLICO 1,85 x 2,10 M , MALHA 5 X 20CM - FIO 5,00MM, REVESTIDOS EM POLIESTER POR PROCESSO DE PINTURA ELETROSTÁTICA (GRADIL), NA COR BRANCA - FORNECIMENTO E INSTALAÇÃO</t>
  </si>
  <si>
    <t>7.39</t>
  </si>
  <si>
    <t>FNDE 285</t>
  </si>
  <si>
    <t>P02 - PORTÃO METÁLICO 1,40 X 2,00 M , MALHA 5 X 20CM - FIO 5,00MM, REVESTIDOS EM POLIESTER POR PROCESSO DE PINTURA ELETROSTÁTICA (GRADIL), NA COR BRANCA - FORNECIMENTO E INSTALAÇÃO</t>
  </si>
  <si>
    <t>7.40</t>
  </si>
  <si>
    <t>FNDE 286</t>
  </si>
  <si>
    <t>P03 - PORTÃO METÁLICO 1,20 X 2,00 M , MALHA 5 X 20CM - FIO 5,00MM, REVESTIDOS EM POLIESTER POR PROCESSO DE PINTURA ELETROSTÁTICA (GRADIL), NA COR BRANCA - FORNECIMENTO E INSTALAÇÃO</t>
  </si>
  <si>
    <t>7.41</t>
  </si>
  <si>
    <t>FNDE 596</t>
  </si>
  <si>
    <t>P04 - PORTÃO METÁLICO 3.12 X 2,10 M , MALHA 5 X 20CM - FIO 5,00MM, REVESTIDOS EM POLIESTER POR PROCESSO DE PINTURA ELETROSTÁTICA (GRADIL), NA COR BRANCA - FORNECIMENTO E INSTALAÇÃO</t>
  </si>
  <si>
    <t>8</t>
  </si>
  <si>
    <t>SISTEMAS DE COBERTURA</t>
  </si>
  <si>
    <t>8.1</t>
  </si>
  <si>
    <t>FNDE 20</t>
  </si>
  <si>
    <t>TELHA TERMOISOLANTE REVESTIDA EM ACO GALVALUME, FACE SUPERIOR TRAPEZOIDAL E FACE INFERIOR PLANA (NAO INCLUI ACESSORIOS DE FIXACAO), REVEST COM ESPESSURA DE 0,50 MM, COM PRE-PINTURA DE COR BRANCA NAS DUAS FACES, NUCLEO EM POLIIOCIANURATO (PIR) COM ESPESSURA DE 50 MM</t>
  </si>
  <si>
    <t>8.2</t>
  </si>
  <si>
    <t>94228</t>
  </si>
  <si>
    <t>CALHA EM CHAPA DE AÇO GALVANIZADO NÚMERO 24, DESENVOLVIMENTO DE 50 CM, INCLUSO TRANSPORTE VERTICAL. AF_07/2019</t>
  </si>
  <si>
    <t>8.3</t>
  </si>
  <si>
    <t>94229</t>
  </si>
  <si>
    <t>CALHA EM CHAPA DE AÇO GALVANIZADO NÚMERO 24, DESENVOLVIMENTO DE 100 CM, INCLUSO TRANSPORTE VERTICAL. AF_07/2019</t>
  </si>
  <si>
    <t>8.4</t>
  </si>
  <si>
    <t>FNDE 65</t>
  </si>
  <si>
    <t>CUMEEIRA NORMAL PARA TELHA TRAPEZOIDAL DE AÇO, E = 0,5 MM, INCLUSO ACESSÓRIOS DE FIXAÇÃO E IÇAMENTO</t>
  </si>
  <si>
    <t>8.5</t>
  </si>
  <si>
    <t>100327</t>
  </si>
  <si>
    <t>RUFO EXTERNO/INTERNO EM CHAPA DE AÇO GALVANIZADO NÚMERO 26, CORTE DE 33 CM, INCLUSO IÇAMENTO. AF_07/2019</t>
  </si>
  <si>
    <t>8.6</t>
  </si>
  <si>
    <t>101979</t>
  </si>
  <si>
    <t>CHAPIM (RUFO CAPA) EM AÇO GALVANIZADO, CORTE 33. AF_11/2020</t>
  </si>
  <si>
    <t>9</t>
  </si>
  <si>
    <t>IMPERMEABILIZAÇÃO</t>
  </si>
  <si>
    <t>9.1</t>
  </si>
  <si>
    <t>FNDE 172</t>
  </si>
  <si>
    <t>IMPERMEABILIZAÇÃO DE VIGA BALDRAME COM EMULSÃO ASFÁLTICA, 2 DEMÃOS</t>
  </si>
  <si>
    <t>9.2</t>
  </si>
  <si>
    <t>FNDE 173</t>
  </si>
  <si>
    <t>IMPERMEABILIZAÇÃO DA LAJE COM EMULSÃO ASFÁLTICA, 2 DEMÃOS</t>
  </si>
  <si>
    <t>9.3</t>
  </si>
  <si>
    <t>FNDE 174</t>
  </si>
  <si>
    <t>IMPERMEABILIZAÇÃO DE PISO COM EMULSÃO ASFÁLTICA, 2 DEMÃOS</t>
  </si>
  <si>
    <t>9.4</t>
  </si>
  <si>
    <t>FNDE 175</t>
  </si>
  <si>
    <t>IMPERMEABILIZAÇÃO DA PAREDE COM EMULSÃO ASFÁLTICA, 2 DEMÃOS</t>
  </si>
  <si>
    <t>9.5</t>
  </si>
  <si>
    <t>98565</t>
  </si>
  <si>
    <t>PROTEÇÃO MECÂNICA DE SUPERFICIE HORIZONTAL COM ARGAMASSA DE CIMENTO E AREIA, TRAÇO 1:3, E=3CM. AF_09/2023</t>
  </si>
  <si>
    <t>10</t>
  </si>
  <si>
    <t>REVESTIMENTOS INTERNO E EXTERNO</t>
  </si>
  <si>
    <t>10.1</t>
  </si>
  <si>
    <t>87905</t>
  </si>
  <si>
    <t>CHAPISCO APLICADO EM ALVENARIA (COM PRESENÇA DE VÃOS) E ESTRUTURAS DE CONCRETO DE FACHADA, COM COLHER DE PEDREIRO. ARGAMASSA TRAÇO 1:3 COM PREPARO EM BETONEIRA 400L. AF_10/2022</t>
  </si>
  <si>
    <t>10.2</t>
  </si>
  <si>
    <t>87879</t>
  </si>
  <si>
    <t>CHAPISCO APLICADO EM ALVENARIAS E ESTRUTURAS DE CONCRETO INTERNAS, COM COLHER DE PEDREIRO. ARGAMASSA TRAÇO 1:3 COM PREPARO EM BETONEIRA 400L. AF_10/2022</t>
  </si>
  <si>
    <t>10.3</t>
  </si>
  <si>
    <t>87775</t>
  </si>
  <si>
    <t>EMBOÇO OU MASSA ÚNICA EM ARGAMASSA TRAÇO 1:2:8, PREPARO MECÂNICO COM BETONEIRA 400 L, APLICADA MANUALMENTE EM PANOS DE FACHADA COM PRESENÇA DE VÃOS, ESPESSURA DE 25 MM. AF_08/2022</t>
  </si>
  <si>
    <t>10.4</t>
  </si>
  <si>
    <t>104952</t>
  </si>
  <si>
    <t>MASSA ÚNICA, EM ARGAMASSA TRAÇO 1:2:8, PREPARO MANUAL, APLICADA MANUALMENTE EM PAREDES INTERNAS DE AMBIENTES COM ÁREA MAIOR QUE 10M², E = 17,5MM, COM TALISCAS. AF_03/2024</t>
  </si>
  <si>
    <t>10.5</t>
  </si>
  <si>
    <t>87535</t>
  </si>
  <si>
    <t>EMBOÇO, EM ARGAMASSA TRAÇO 1:2:8, PREPARO MECÂNICO, APLICADO MANUALMENTE EM PAREDES INTERNAS DE AMBIENTES COM ÁREA MAIOR QUE 10M², E = 17,5MM, COM TALISCAS. AF_03/2024</t>
  </si>
  <si>
    <t>10.6</t>
  </si>
  <si>
    <t>87273</t>
  </si>
  <si>
    <t>REVESTIMENTO CERÂMICO PARA PAREDES INTERNAS COM PLACAS TIPO ESMALTADA DE DIMENSÕES 33X45 CM APLICADAS NA ALTURA INTEIRA DAS PAREDES. AF_02/2023_PE</t>
  </si>
  <si>
    <t>10.7</t>
  </si>
  <si>
    <t>FNDE 293</t>
  </si>
  <si>
    <t>REVESTIMENTO CERÂMICO PARA PAREDES INTERNAS COM PLACAS TIPO ESMALTADA EXTRA DE DIMENSÕES 10X10 CM COR AMARELA APLICADAS NA ALTURA INTEIRA DAS PAREDES</t>
  </si>
  <si>
    <t>10.8</t>
  </si>
  <si>
    <t>FNDE 294</t>
  </si>
  <si>
    <t>REVESTIMENTO CERÂMICO PARA PAREDES INTERNAS COM PLACAS TIPO ESMALTADA EXTRA DE DIMENSÕES 10X10 CM COR AZUL APLICADAS NA ALTURA INTEIRA DAS PAREDES</t>
  </si>
  <si>
    <t>10.9</t>
  </si>
  <si>
    <t>FNDE 295</t>
  </si>
  <si>
    <t>REVESTIMENTO CERÂMICO PARA PAREDES INTERNAS COM PLACAS TIPO ESMALTADA EXTRA DE DIMENSÕES 10X10 CM COR BRANCA APLICADAS NA ALTURA INTEIRA DAS PAREDES</t>
  </si>
  <si>
    <t>10.10</t>
  </si>
  <si>
    <t>FNDE 296</t>
  </si>
  <si>
    <t>REVESTIMENTO CERÂMICO PARA PAREDES INTERNAS COM PLACAS TIPO ESMALTADA EXTRA DE DIMENSÕES 10X10 CM COR VERMELHA APLICADAS NA ALTURA INTEIRA DAS PAREDES</t>
  </si>
  <si>
    <t>10.11</t>
  </si>
  <si>
    <t>FNDE 245</t>
  </si>
  <si>
    <t>RODA MEIO EM MADEIRA, ALTURA 7CM, FIXADO COM COLA</t>
  </si>
  <si>
    <t>10.12</t>
  </si>
  <si>
    <t>FNDE 37</t>
  </si>
  <si>
    <t>CANTONEIRA DE BORRACHA - AMBIENTE SOLÁRIO</t>
  </si>
  <si>
    <t>10.13</t>
  </si>
  <si>
    <t>96114</t>
  </si>
  <si>
    <t>FORRO EM DRYWALL, PARA AMBIENTES COMERCIAIS, INCLUSIVE ESTRUTURA BIRECIONAL DE FIXAÇÃO. AF_08/2023_PS</t>
  </si>
  <si>
    <t>10.14</t>
  </si>
  <si>
    <t>96121</t>
  </si>
  <si>
    <t>ACABAMENTOS PARA FORRO (RODA-FORRO EM PERFIL METÁLICO E PLÁSTICO). AF_08/2023</t>
  </si>
  <si>
    <t>10.15</t>
  </si>
  <si>
    <t>FNDE 18</t>
  </si>
  <si>
    <t>FORRO DE FIBRA MINERAL EM PLACAS DE 1250 x 625 MM, E = 15 MM, BORDA RETA, COM PINTURA ANTIMOFO, APOIADO EM PERFIL DE ACO GALVANIZADO COM 24 MM DE BASE - INSTALADO</t>
  </si>
  <si>
    <t>11</t>
  </si>
  <si>
    <t>SISTEMAS DE PISOS</t>
  </si>
  <si>
    <t>11.1</t>
  </si>
  <si>
    <t>11.2</t>
  </si>
  <si>
    <t>11.3</t>
  </si>
  <si>
    <t>11.4</t>
  </si>
  <si>
    <t>97088</t>
  </si>
  <si>
    <t>ARMAÇÃO PARA EXECUÇÃO DE RADIER, PISO DE CONCRETO OU LAJE SOBRE SOLO, COM USO DE TELA Q-92. AF_09/2021</t>
  </si>
  <si>
    <t>11.5</t>
  </si>
  <si>
    <t>96620</t>
  </si>
  <si>
    <t>LASTRO DE CONCRETO MAGRO, APLICADO EM PISOS, LAJES SOBRE SOLO OU RADIERS. AF_01/2024</t>
  </si>
  <si>
    <t>11.6</t>
  </si>
  <si>
    <t>87630</t>
  </si>
  <si>
    <t>CONTRAPISO EM ARGAMASSA TRAÇO 1:4 (CIMENTO E AREIA), PREPARO MECÂNICO COM BETONEIRA 400 L, APLICADO EM ÁREAS SECAS SOBRE LAJE, ADERIDO, ACABAMENTO NÃO REFORÇADO, ESPESSURA 3CM. AF_07/2021</t>
  </si>
  <si>
    <t>11.7</t>
  </si>
  <si>
    <t>87745</t>
  </si>
  <si>
    <t>CONTRAPISO EM ARGAMASSA TRAÇO 1:4 (CIMENTO E AREIA), PREPARO MECÂNICO COM BETONEIRA 400 L, APLICADO EM ÁREAS MOLHADAS SOBRE LAJE, ADERIDO, ACABAMENTO NÃO REFORÇADO, ESPESSURA 3CM. AF_07/2021</t>
  </si>
  <si>
    <t>11.8</t>
  </si>
  <si>
    <t>104162</t>
  </si>
  <si>
    <t>PISO EM GRANILITE, MARMORITE OU GRANITINA EM AMBIENTES INTERNOS, COM ESPESSURA DE 8 MM, INCLUSO MISTURA EM BETONEIRA, COLOCAÇÃO DAS JUNTAS, APLICAÇÃO DO PISO, 4 POLIMENTOS COM POLITRIZ, ESTUCAMENTO, SELADOR E CERA. AF_06/2022</t>
  </si>
  <si>
    <t>11.9</t>
  </si>
  <si>
    <t>87257</t>
  </si>
  <si>
    <t>REVESTIMENTO CERÂMICO PARA PISO COM PLACAS TIPO ESMALTADA DE DIMENSÕES 60X60 CM APLICADA EM AMBIENTES DE ÁREA MAIOR QUE 10 M2. AF_02/2023_PE</t>
  </si>
  <si>
    <t>11.10</t>
  </si>
  <si>
    <t>87251</t>
  </si>
  <si>
    <t>REVESTIMENTO CERÂMICO PARA PISO COM PLACAS TIPO ESMALTADA DE DIMENSÕES 45X45 CM APLICADA EM AMBIENTES DE ÁREA MAIOR QUE 10 M2. AF_02/2023_PE</t>
  </si>
  <si>
    <t>11.11</t>
  </si>
  <si>
    <t>FNDE 09</t>
  </si>
  <si>
    <t>NATA DE CIMENTO COM COLA PVA, PARA NIVELAMENTO DE CONTRAPISO PARA ASSENTAMENTO DE PISO VINÍLICO</t>
  </si>
  <si>
    <t>11.12</t>
  </si>
  <si>
    <t>FNDE 298</t>
  </si>
  <si>
    <t>PISO VINÍLICO EM MANTA, PADRÃO LISO, AMARELO, ESPESSURA 2 MM, FIXADO COM COLA.</t>
  </si>
  <si>
    <t>11.13</t>
  </si>
  <si>
    <t>FNDE 297</t>
  </si>
  <si>
    <t>PISO VINÍLICO EM MANTA, PADRÃO LISO, CINZA ESCURO, ESPESSURA 2 MM, FIXADO COM COLA</t>
  </si>
  <si>
    <t>11.14</t>
  </si>
  <si>
    <t>FNDE 299</t>
  </si>
  <si>
    <t>PISO VINÍLICO EM MANTA, PADRÃO LISO, AZUL, ESPESSURA 2 MM, FIXADO COM COLA</t>
  </si>
  <si>
    <t>11.15</t>
  </si>
  <si>
    <t>FNDE 300</t>
  </si>
  <si>
    <t>PISO VINÍLICO EM MANTA, PADRÃO LISO, CINZA CLARO, ESPESSURA 2 MM, FIXADO COM COLA</t>
  </si>
  <si>
    <t>11.16</t>
  </si>
  <si>
    <t>88650</t>
  </si>
  <si>
    <t>RODAPÉ CERÂMICO DE 7CM DE ALTURA COM PLACAS TIPO ESMALTADA DE DIMENSÕES 60X60CM. AF_02/2023</t>
  </si>
  <si>
    <t>11.17</t>
  </si>
  <si>
    <t>98688</t>
  </si>
  <si>
    <t>RODAPÉ EM POLIESTIRENO, ALTURA 5 CM. AF_09/2020</t>
  </si>
  <si>
    <t>11.18</t>
  </si>
  <si>
    <t>98689</t>
  </si>
  <si>
    <t>SOLEIRA EM GRANITO, LARGURA 15 CM, ESPESSURA 2,0 CM. AF_09/2020</t>
  </si>
  <si>
    <t>11.19</t>
  </si>
  <si>
    <t>92400</t>
  </si>
  <si>
    <t>EXECUÇÃO DE PAVIMENTO EM PISO INTERTRAVADO, COM BLOCO RETANGULAR DE 20 X 10 CM, ESPESSURA 10 CM. AF_10/2022</t>
  </si>
  <si>
    <t>11.20</t>
  </si>
  <si>
    <t>FNDE 400</t>
  </si>
  <si>
    <t>PISO PODOTÁTIL DE ALERTA, COR AMARELA, DE BORRACHA, ASSENTADO SOBRE ARGAMASSA</t>
  </si>
  <si>
    <t>11.21</t>
  </si>
  <si>
    <t>FNDE 401</t>
  </si>
  <si>
    <t>PISO PODOTÁTIL DE ALERTA, COR AZUL, DE BORRACHA, ASSENTADO SOBRE ARGAMASSA</t>
  </si>
  <si>
    <t>11.22</t>
  </si>
  <si>
    <t>FNDE 190</t>
  </si>
  <si>
    <t>PISO PODOTÁTIL DE ALERTA, COR VERMELHA, DE CONCRETO, ASSENTADO SOBRE ARGAMASSA</t>
  </si>
  <si>
    <t>11.23</t>
  </si>
  <si>
    <t>FNDE 10</t>
  </si>
  <si>
    <t>COLCHÃO DRENANTE DE AREIA H= 30 CM</t>
  </si>
  <si>
    <t>11.24</t>
  </si>
  <si>
    <t>98504</t>
  </si>
  <si>
    <t>PLANTIO DE GRAMA BATATAIS EM PLACAS. AF_07/2024</t>
  </si>
  <si>
    <t>11.25</t>
  </si>
  <si>
    <t>FNDE 38</t>
  </si>
  <si>
    <t>FITA 3M COLANTE ANTIDERRAPANTE PARA PISO</t>
  </si>
  <si>
    <t>11.26</t>
  </si>
  <si>
    <t>11.27</t>
  </si>
  <si>
    <t>11.28</t>
  </si>
  <si>
    <t>11.29</t>
  </si>
  <si>
    <t>94994</t>
  </si>
  <si>
    <t>EXECUÇÃO DE PASSEIO (CALÇADA) OU PISO DE CONCRETO COM CONCRETO MOLDADO IN LOCO, FEITO EM OBRA, ACABAMENTO CONVENCIONAL, ESPESSURA 8 CM, ARMADO. AF_08/2022</t>
  </si>
  <si>
    <t>12</t>
  </si>
  <si>
    <t>PINTURAS E ACABAMENTOS</t>
  </si>
  <si>
    <t>12.1</t>
  </si>
  <si>
    <t>88497</t>
  </si>
  <si>
    <t>EMASSAMENTO COM MASSA LÁTEX, APLICAÇÃO EM PAREDE, DUAS DEMÃOS, LIXAMENTO MANUAL. AF_04/2023</t>
  </si>
  <si>
    <t>12.2</t>
  </si>
  <si>
    <t>96135</t>
  </si>
  <si>
    <t>APLICAÇÃO MANUAL DE MASSA ACRÍLICA EM PAREDES EXTERNAS DE CASAS, DUAS DEMÃOS. AF_03/2024</t>
  </si>
  <si>
    <t>12.3</t>
  </si>
  <si>
    <t>FNDE 402</t>
  </si>
  <si>
    <t>PINTURA LÁTEX ACRÍLICA, COR BRANCO GELO, APLICAÇÃO MANUAL EM PAREDES, DUAS DEMÃOS</t>
  </si>
  <si>
    <t>12.4</t>
  </si>
  <si>
    <t>FNDE 403</t>
  </si>
  <si>
    <t>PINTURA LÁTEX ACRÍLICA, COR VERMELHO, APLICAÇÃO MANUAL EM PAREDES, DUAS DEMÃOS</t>
  </si>
  <si>
    <t>12.5</t>
  </si>
  <si>
    <t>FNDE 404</t>
  </si>
  <si>
    <t>PINTURA LÁTEX ACRÍLICA, COR CINZA, APLICAÇÃO MANUAL EM PAREDES, DUAS DEMÃOS</t>
  </si>
  <si>
    <t>12.6</t>
  </si>
  <si>
    <t>FNDE 405</t>
  </si>
  <si>
    <t>PINTURA LÁTEX ACRÍLICA, COR AZUL, APLICAÇÃO MANUAL EM PAREDES, DUAS DEMÃOS</t>
  </si>
  <si>
    <t>12.7</t>
  </si>
  <si>
    <t>FNDE 35</t>
  </si>
  <si>
    <t>PINTURA COM TINTA EPÓXI EM PAREDES, COR VERDE, APLICAÇÃO MANUAL, 2 DEMÃOS, INCLUSO PRIMER EPÓXI</t>
  </si>
  <si>
    <t>12.8</t>
  </si>
  <si>
    <t>FNDE 36</t>
  </si>
  <si>
    <t>PINTURA COM TINTA EPÓXI EM PAREDES, COR LARANJA, APLICAÇÃO MANUAL, 2 DEMÃOS, INCLUSO PRIMER EPÓXI</t>
  </si>
  <si>
    <t>12.9</t>
  </si>
  <si>
    <t>FNDE 201</t>
  </si>
  <si>
    <t>PINTURA EM ESMALTE SINTÉTICO EM RODAMEIO DE MADEIRA, 2 DEMÃOS - COR BRANCO</t>
  </si>
  <si>
    <t>12.10</t>
  </si>
  <si>
    <t>88494</t>
  </si>
  <si>
    <t>EMASSAMENTO COM MASSA LÁTEX, APLICAÇÃO EM TETO, UMA DEMÃO, LIXAMENTO MANUAL. AF_04/2023</t>
  </si>
  <si>
    <t>12.11</t>
  </si>
  <si>
    <t>88488</t>
  </si>
  <si>
    <t>PINTURA LÁTEX ACRÍLICA PREMIUM, APLICAÇÃO MANUAL EM TETO, DUAS DEMÃOS. AF_04/2023</t>
  </si>
  <si>
    <t>12.12</t>
  </si>
  <si>
    <t>FNDE 406</t>
  </si>
  <si>
    <t>PINTURA DE PISO COM TINTA EPÓXI, COR AMARELO, APLICAÇÃO MANUAL, 2 DEMÃOS, INCLUSO PRIMER EPÓXI</t>
  </si>
  <si>
    <t>12.13</t>
  </si>
  <si>
    <t>FNDE 407</t>
  </si>
  <si>
    <t>PINTURA DE PISO COM TINTA EPÓXI, COR AZUL, APLICAÇÃO MANUAL, 2 DEMÃOS, INCLUSO PRIMER EPÓXI</t>
  </si>
  <si>
    <t>12.14</t>
  </si>
  <si>
    <t>FNDE 409</t>
  </si>
  <si>
    <t>PINTURA DE PISO COM TINTA EPÓXI, COR CINZA, APLICAÇÃO MANUAL, 2 DEMÃOS, INCLUSO PRIMER EPÓXI</t>
  </si>
  <si>
    <t>12.15</t>
  </si>
  <si>
    <t>12.16</t>
  </si>
  <si>
    <t>FNDE 410</t>
  </si>
  <si>
    <t>PINTURA DE PISO COM TINTA EPÓXI, COR LARANJA, APLICAÇÃO MANUAL, 2 DEMÃOS, INCLUSO PRIMER EPÓXI</t>
  </si>
  <si>
    <t>12.17</t>
  </si>
  <si>
    <t>FNDE 411</t>
  </si>
  <si>
    <t>PINTURA DE PISO COM TINTA EPÓXI, COR VERDE, APLICAÇÃO MANUAL, 2 DEMÃOS, INCLUSO PRIMER EPÓXI</t>
  </si>
  <si>
    <t>13</t>
  </si>
  <si>
    <t>INSTALAÇÕES DE ÁGUA FRIA</t>
  </si>
  <si>
    <t>13.1</t>
  </si>
  <si>
    <t>89356</t>
  </si>
  <si>
    <t>TUBO, PVC, SOLDÁVEL, DE 25MM, INSTALADO EM RAMAL OU SUB-RAMAL DE ÁGUA - FORNECIMENTO E INSTALAÇÃO. AF_06/2022</t>
  </si>
  <si>
    <t>13.2</t>
  </si>
  <si>
    <t>89357</t>
  </si>
  <si>
    <t>TUBO, PVC, SOLDÁVEL, DE 32MM, INSTALADO EM RAMAL OU SUB-RAMAL DE ÁGUA - FORNECIMENTO E INSTALAÇÃO. AF_06/2022</t>
  </si>
  <si>
    <t>13.3</t>
  </si>
  <si>
    <t>103978</t>
  </si>
  <si>
    <t>TUBO, PVC, SOLDÁVEL, DE 40MM, INSTALADO EM RAMAL DE DISTRIBUIÇÃO DE ÁGUA - FORNECIMENTO E INSTALAÇÃO. AF_06/2022</t>
  </si>
  <si>
    <t>13.4</t>
  </si>
  <si>
    <t>103979</t>
  </si>
  <si>
    <t>TUBO, PVC, SOLDÁVEL, DE 50MM, INSTALADO EM RAMAL DE DISTRIBUIÇÃO DE ÁGUA - FORNECIMENTO E INSTALAÇÃO. AF_06/2022</t>
  </si>
  <si>
    <t>13.5</t>
  </si>
  <si>
    <t>89450</t>
  </si>
  <si>
    <t>TUBO, PVC, SOLDÁVEL, DE 60MM, INSTALADO EM PRUMADA DE ÁGUA - FORNECIMENTO E INSTALAÇÃO. AF_06/2022</t>
  </si>
  <si>
    <t>13.6</t>
  </si>
  <si>
    <t>89452</t>
  </si>
  <si>
    <t>TUBO, PVC, SOLDÁVEL, DE 85MM, INSTALADO EM PRUMADA DE ÁGUA - FORNECIMENTO E INSTALAÇÃO. AF_06/2022</t>
  </si>
  <si>
    <t>13.7</t>
  </si>
  <si>
    <t>FNDE 119</t>
  </si>
  <si>
    <t>TUBO DE DESCARGA, TIPO BENGALA, PARA LIGACAO CAIXA DE DESCARGA - EMBUTIR, PVC, 40 MM X 150 CM</t>
  </si>
  <si>
    <t>13.8</t>
  </si>
  <si>
    <t>89429</t>
  </si>
  <si>
    <t>ADAPTADOR CURTO COM BOLSA E ROSCA PARA REGISTRO, PVC, SOLDÁVEL, DN 25MM X 3/4, INSTALADO EM RAMAL DE DISTRIBUIÇÃO DE ÁGUA - FORNECIMENTO E INSTALAÇÃO. AF_06/2022</t>
  </si>
  <si>
    <t>13.9</t>
  </si>
  <si>
    <t>103992</t>
  </si>
  <si>
    <t>ADAPTADOR CURTO COM BOLSA E ROSCA PARA REGISTRO, PVC, SOLDÁVEL, DN 40MM X 1.1/4", INSTALADO EM RAMAL DE DISTRIBUIÇÃO DE ÁGUA - FORNECIMENTO E INSTALAÇÃO. AF_06/2022</t>
  </si>
  <si>
    <t>13.10</t>
  </si>
  <si>
    <t>104001</t>
  </si>
  <si>
    <t>ADAPTADOR CURTO COM BOLSA E ROSCA PARA REGISTRO, PVC, SOLDÁVEL, DN 50MM X 1.1/2", INSTALADO EM RAMAL DE DISTRIBUIÇÃO DE ÁGUA - FORNECIMENTO E INSTALAÇÃO. AF_06/2022</t>
  </si>
  <si>
    <t>13.11</t>
  </si>
  <si>
    <t>89616</t>
  </si>
  <si>
    <t>ADAPTADOR CURTO COM BOLSA E ROSCA PARA REGISTRO, PVC, SOLDÁVEL, DN 85MM X 3, INSTALADO EM PRUMADA DE ÁGUA - FORNECIMENTO E INSTALAÇÃO. AF_06/2022</t>
  </si>
  <si>
    <t>13.12</t>
  </si>
  <si>
    <t>103948</t>
  </si>
  <si>
    <t>BUCHA DE REDUÇÃO, CURTA, PVC, SOLDÁVEL, DN 32 X 25 MM, INSTALADO EM RAMAL OU SUB-RAMAL DE ÁGUA - FORNECIMENTO E INSTALAÇÃO. AF_06/2022</t>
  </si>
  <si>
    <t>13.13</t>
  </si>
  <si>
    <t>103993</t>
  </si>
  <si>
    <t>BUCHA DE REDUÇÃO, PVC, SOLDÁVEL, DN 40MM X 32MM, INSTALADO EM RAMAL DE DISTRIBUIÇÃO DE ÁGUA - FORNECIMENTO E INSTALAÇÃO. AF_06/2022</t>
  </si>
  <si>
    <t>13.14</t>
  </si>
  <si>
    <t>104003</t>
  </si>
  <si>
    <t>BUCHA DE REDUÇÃO, LONGA, PVC, SOLDÁVEL, DN 50 X 32 MM, INSTALADO EM RAMAL DE DISTRIBUIÇÃO DE ÁGUA - FORNECIMENTO E INSTALAÇÃO. AF_06/2022</t>
  </si>
  <si>
    <t>13.15</t>
  </si>
  <si>
    <t>105139</t>
  </si>
  <si>
    <t>BUCHA DE REDUÇÃO PVC, SOLDÁVEL, LONGA, DN 60 X 32 MM, INSTALADO EM RESERVAÇÃO PREDIAL DE ÁGUA - FORNECIMENTO E INSTALAÇÃO. AF_04/2024</t>
  </si>
  <si>
    <t>13.16</t>
  </si>
  <si>
    <t>103959</t>
  </si>
  <si>
    <t>BUCHA DE REDUÇÃO, CURTA, PVC, SOLDÁVEL, DN 60 X 50 MM, INSTALADO EM PRUMADA DE ÁGUA - FORNECIMENTO E INSTALAÇÃO. AF_06/2022</t>
  </si>
  <si>
    <t>13.17</t>
  </si>
  <si>
    <t>103968</t>
  </si>
  <si>
    <t>BUCHA DE REDUÇÃO, LONGA, PVC, SOLDÁVEL, DN 60 X 25 MM, INSTALADO EM PRUMADA DE ÁGUA - FORNECIMENTO E INSTALAÇÃO. AF_06/2022</t>
  </si>
  <si>
    <t>13.18</t>
  </si>
  <si>
    <t>FNDE 413</t>
  </si>
  <si>
    <t>BUCHA DE REDUÇÃO, LONGA, PVC, SOLDÁVEL, DN 85 X 60 MM, INSTALADO EM PRUMADA DE ÁGUA - FORNECIMENTO E INSTALAÇÃO</t>
  </si>
  <si>
    <t>13.19</t>
  </si>
  <si>
    <t>104034</t>
  </si>
  <si>
    <t>COLAR DE TOMADA, PVC, COM TRAVAS, DE 110 MM X 1/2" OU 110 MM X 3/4", PARA LIGAÇÃO PREDIAL DE ÁGUA. AF_06/2022</t>
  </si>
  <si>
    <t>13.20</t>
  </si>
  <si>
    <t>103986</t>
  </si>
  <si>
    <t>CURVA 90 GRAUS, PVC, SOLDÁVEL, DN 50MM, INSTALADO EM RAMAL DE DISTRIBUIÇÃO DE ÁGUA - FORNECIMENTO E INSTALAÇÃO. AF_06/2022</t>
  </si>
  <si>
    <t>13.21</t>
  </si>
  <si>
    <t>89408</t>
  </si>
  <si>
    <t>JOELHO 90 GRAUS, PVC, SOLDÁVEL, DN 25MM, INSTALADO EM RAMAL DE DISTRIBUIÇÃO DE ÁGUA - FORNECIMENTO E INSTALAÇÃO. AF_06/2022</t>
  </si>
  <si>
    <t>13.22</t>
  </si>
  <si>
    <t>103980</t>
  </si>
  <si>
    <t>JOELHO 90 GRAUS, PVC, SOLDÁVEL, DN 40MM, INSTALADO EM RAMAL DE DISTRIBUIÇÃO DE ÁGUA - FORNECIMENTO E INSTALAÇÃO. AF_06/2022</t>
  </si>
  <si>
    <t>13.23</t>
  </si>
  <si>
    <t>89505</t>
  </si>
  <si>
    <t>JOELHO 90 GRAUS, PVC, SOLDÁVEL, DN 60MM, INSTALADO EM PRUMADA DE ÁGUA - FORNECIMENTO E INSTALAÇÃO. AF_06/2022</t>
  </si>
  <si>
    <t>13.24</t>
  </si>
  <si>
    <t>89521</t>
  </si>
  <si>
    <t>JOELHO 90 GRAUS, PVC, SOLDÁVEL, DN 85MM, INSTALADO EM PRUMADA DE ÁGUA - FORNECIMENTO E INSTALAÇÃO. AF_06/2022</t>
  </si>
  <si>
    <t>13.25</t>
  </si>
  <si>
    <t>FNDE 415</t>
  </si>
  <si>
    <t>JOELHO 90 GRAUS, PVC, SOLDÁVEL, COM ROSCA, DN 25MM x 3/4 - FORNECIMENTO E INSTALAÇÃO. AF_06/2022</t>
  </si>
  <si>
    <t>13.26</t>
  </si>
  <si>
    <t>89409</t>
  </si>
  <si>
    <t>JOELHO 45 GRAUS, PVC, SOLDÁVEL, DN 25MM, INSTALADO EM RAMAL DE DISTRIBUIÇÃO DE ÁGUA - FORNECIMENTO E INSTALAÇÃO. AF_06/2022</t>
  </si>
  <si>
    <t>13.27</t>
  </si>
  <si>
    <t>103956</t>
  </si>
  <si>
    <t>JOELHO DE REDUÇÃO, 90 GRAUS, PVC, SOLDÁVEL, DN 32 MM X 25 MM, INSTALADO EM RAMAL DE DISTRIBUIÇÃO DE ÁGUA - FORNECIMENTO E INSTALAÇÃO. AF_06/2022</t>
  </si>
  <si>
    <t>13.28</t>
  </si>
  <si>
    <t>89366</t>
  </si>
  <si>
    <t>JOELHO 90 GRAUS COM BUCHA DE LATÃO, PVC, SOLDÁVEL, DN 25MM, X 3/4 INSTALADO EM RAMAL OU SUB-RAMAL DE ÁGUA - FORNECIMENTO E INSTALAÇÃO. AF_06/2022</t>
  </si>
  <si>
    <t>13.29</t>
  </si>
  <si>
    <t>90373</t>
  </si>
  <si>
    <t>JOELHO 90 GRAUS COM BUCHA DE LATÃO, PVC, SOLDÁVEL, DN 25MM, X 1/2 INSTALADO EM RAMAL OU SUB-RAMAL DE ÁGUA - FORNECIMENTO E INSTALAÇÃO. AF_06/2022</t>
  </si>
  <si>
    <t>13.30</t>
  </si>
  <si>
    <t>89424</t>
  </si>
  <si>
    <t>LUVA, PVC, SOLDÁVEL, DN 25MM, INSTALADO EM RAMAL DE DISTRIBUIÇÃO DE ÁGUA - FORNECIMENTO E INSTALAÇÃO. AF_06/2022</t>
  </si>
  <si>
    <t>13.31</t>
  </si>
  <si>
    <t>89386</t>
  </si>
  <si>
    <t>LUVA, PVC, SOLDÁVEL, DN 32MM, INSTALADO EM RAMAL OU SUB-RAMAL DE ÁGUA - FORNECIMENTO E INSTALAÇÃO. AF_06/2022</t>
  </si>
  <si>
    <t>13.32</t>
  </si>
  <si>
    <t>103988</t>
  </si>
  <si>
    <t>LUVA, PVC, SOLDÁVEL, DN 40MM, INSTALADO EM RAMAL DE DISTRIBUIÇÃO DE ÁGUA - FORNECIMENTO E INSTALAÇÃO. AF_06/2022</t>
  </si>
  <si>
    <t>13.33</t>
  </si>
  <si>
    <t>103995</t>
  </si>
  <si>
    <t>LUVA, PVC, SOLDÁVEL, DN 50MM, INSTALADO EM RAMAL DE DISTRIBUIÇÃO DE ÁGUA - FORNECIMENTO E INSTALAÇÃO. AF_06/2022</t>
  </si>
  <si>
    <t>13.34</t>
  </si>
  <si>
    <t>89597</t>
  </si>
  <si>
    <t>LUVA, PVC, SOLDÁVEL, DN 60MM, INSTALADO EM PRUMADA DE ÁGUA - FORNECIMENTO E INSTALAÇÃO. AF_06/2022</t>
  </si>
  <si>
    <t>13.35</t>
  </si>
  <si>
    <t>89614</t>
  </si>
  <si>
    <t>LUVA, PVC, SOLDÁVEL, DN 85MM, INSTALADO EM PRUMADA DE ÁGUA - FORNECIMENTO E INSTALAÇÃO. AF_06/2022</t>
  </si>
  <si>
    <t>13.36</t>
  </si>
  <si>
    <t>89440</t>
  </si>
  <si>
    <t>TE, PVC, SOLDÁVEL, DN 25MM, INSTALADO EM RAMAL DE DISTRIBUIÇÃO DE ÁGUA - FORNECIMENTO E INSTALAÇÃO. AF_06/2022</t>
  </si>
  <si>
    <t>13.37</t>
  </si>
  <si>
    <t>104011</t>
  </si>
  <si>
    <t>TE, PVC, SOLDÁVEL, DN 40MM, INSTALADO EM RAMAL DE DISTRIBUIÇÃO DE ÁGUA - FORNECIMENTO E INSTALAÇÃO. AF_06/2022</t>
  </si>
  <si>
    <t>13.38</t>
  </si>
  <si>
    <t>104004</t>
  </si>
  <si>
    <t>TE, PVC, SOLDÁVEL, DN 50MM, INSTALADO EM RAMAL DE DISTRIBUIÇÃO DE ÁGUA - FORNECIMENTO E INSTALAÇÃO. AF_06/2022</t>
  </si>
  <si>
    <t>13.39</t>
  </si>
  <si>
    <t>89628</t>
  </si>
  <si>
    <t>TE, PVC, SOLDÁVEL, DN 60MM, INSTALADO EM PRUMADA DE ÁGUA - FORNECIMENTO E INSTALAÇÃO. AF_06/2022</t>
  </si>
  <si>
    <t>13.40</t>
  </si>
  <si>
    <t>89631</t>
  </si>
  <si>
    <t>TE, PVC, SOLDÁVEL, DN 85MM, INSTALADO EM PRUMADA DE ÁGUA - FORNECIMENTO E INSTALAÇÃO. AF_06/2022</t>
  </si>
  <si>
    <t>13.41</t>
  </si>
  <si>
    <t>104006</t>
  </si>
  <si>
    <t>TÊ DE REDUÇÃO, PVC, SOLDÁVEL, DN 50MM X 25MM, INSTALADO EM RAMAL DE DISTRIBUIÇÃO DE ÁGUA - FORNECIMENTO E INSTALAÇÃO. AF_06/2022</t>
  </si>
  <si>
    <t>13.42</t>
  </si>
  <si>
    <t>89632</t>
  </si>
  <si>
    <t>TE DE REDUÇÃO, PVC, SOLDÁVEL, DN 85MM X 60MM, INSTALADO EM PRUMADA DE ÁGUA - FORNECIMENTO E INSTALAÇÃO. AF_06/2022</t>
  </si>
  <si>
    <t>13.43</t>
  </si>
  <si>
    <t>FNDE 469</t>
  </si>
  <si>
    <t>TE DE REDUÇÃO, PVC, SOLDÁVEL, DN 60MM X 50MM, INSTALADO EM PRUMADA DE ÁGUA - FORNECIMENTO E INSTALAÇÃO</t>
  </si>
  <si>
    <t>13.44</t>
  </si>
  <si>
    <t>90374</t>
  </si>
  <si>
    <t>TÊ COM BUCHA DE LATÃO NA BOLSA CENTRAL, PVC, SOLDÁVEL, DN 25MM X 3/4, INSTALADO EM RAMAL OU SUB-RAMAL DE ÁGUA - FORNECIMENTO E INSTALAÇÃO. AF_06/2022</t>
  </si>
  <si>
    <t>13.45</t>
  </si>
  <si>
    <t>94500</t>
  </si>
  <si>
    <t>REGISTRO DE GAVETA BRUTO, LATÃO, ROSCÁVEL, 3" - FORNECIMENTO E INSTALAÇÃO. AF_08/2021</t>
  </si>
  <si>
    <t>13.46</t>
  </si>
  <si>
    <t>94794</t>
  </si>
  <si>
    <t>REGISTRO DE GAVETA BRUTO, LATÃO, ROSCÁVEL, 1 1/2", COM ACABAMENTO E CANOPLA CROMADOS - FORNECIMENTO E INSTALAÇÃO. AF_08/2021</t>
  </si>
  <si>
    <t>13.47</t>
  </si>
  <si>
    <t>89987</t>
  </si>
  <si>
    <t>REGISTRO DE GAVETA BRUTO, LATÃO, ROSCÁVEL, 3/4", COM ACABAMENTO E CANOPLA CROMADOS - FORNECIMENTO E INSTALAÇÃO. AF_08/2021</t>
  </si>
  <si>
    <t>13.48</t>
  </si>
  <si>
    <t>89985</t>
  </si>
  <si>
    <t>REGISTRO DE PRESSÃO BRUTO, LATÃO, ROSCÁVEL, 3/4", COM ACABAMENTO E CANOPLA CROMADOS - FORNECIMENTO E INSTALAÇÃO. AF_08/2021</t>
  </si>
  <si>
    <t>13.49</t>
  </si>
  <si>
    <t>103042</t>
  </si>
  <si>
    <t>REGISTRO DE ESFERA, PVC, ROSCÁVEL, COM BORBOLETA, 3/4" - FORNECIMENTO E INSTALAÇÃO. AF_08/2021</t>
  </si>
  <si>
    <t>13.50</t>
  </si>
  <si>
    <t>90371</t>
  </si>
  <si>
    <t>REGISTRO DE ESFERA, PVC, ROSCÁVEL, COM VOLANTE, 3/4" - FORNECIMENTO E INSTALAÇÃO. AF_08/2021</t>
  </si>
  <si>
    <t>13.51</t>
  </si>
  <si>
    <t>94496</t>
  </si>
  <si>
    <t>REGISTRO DE GAVETA BRUTO, LATÃO, ROSCÁVEL, 1 1/4" - FORNECIMENTO E INSTALAÇÃO. AF_08/2021</t>
  </si>
  <si>
    <t>13.52</t>
  </si>
  <si>
    <t>FNDE 215</t>
  </si>
  <si>
    <t>VÁLVULA DE DESCARGA METÁLICA, DUPLO ACIONAMENTO ECO, BASE 1 1/2", ACABAMENTO METALICO CROMADO - FORNECIMENTO E INSTALAÇÃO</t>
  </si>
  <si>
    <t>13.53</t>
  </si>
  <si>
    <t>FNDE 391</t>
  </si>
  <si>
    <t>RESERVATÓRIO METÁLICO CILINDRICO CAP. 15.000 LITROS, COM GUARDA-CORPO, ESCADA E PINTURA</t>
  </si>
  <si>
    <t>14</t>
  </si>
  <si>
    <t>INSTALAÇÕES DE ÁGUAS PLUVIAIS</t>
  </si>
  <si>
    <t>14.1</t>
  </si>
  <si>
    <t>89578</t>
  </si>
  <si>
    <t>TUBO PVC, SÉRIE R, ÁGUA PLUVIAL, DN 100 MM, FORNECIDO E INSTALADO EM CONDUTORES VERTICAIS DE ÁGUAS PLUVIAIS. AF_06/2022</t>
  </si>
  <si>
    <t>14.2</t>
  </si>
  <si>
    <t>89580</t>
  </si>
  <si>
    <t>TUBO PVC, SÉRIE R, ÁGUA PLUVIAL, DN 150 MM, FORNECIDO E INSTALADO EM CONDUTORES VERTICAIS DE ÁGUAS PLUVIAIS. AF_06/2022</t>
  </si>
  <si>
    <t>14.3</t>
  </si>
  <si>
    <t>90702</t>
  </si>
  <si>
    <t>TUBO DE PVC CORRUGADO DE DUPLA PAREDE PARA REDE COLETORA DE ESGOTO, DN 200 MM, JUNTA ELÁSTICA - FORNECIMENTO E ASSENTAMENTO. AF_01/2021</t>
  </si>
  <si>
    <t>14.4</t>
  </si>
  <si>
    <t>90703</t>
  </si>
  <si>
    <t>TUBO DE PVC CORRUGADO DE DUPLA PAREDE PARA REDE COLETORA DE ESGOTO, DN 250 MM, JUNTA ELÁSTICA - FORNECIMENTO E ASSENTAMENTO. AF_01/2021</t>
  </si>
  <si>
    <t>14.5</t>
  </si>
  <si>
    <t>89571</t>
  </si>
  <si>
    <t>TÊ, PVC, SERIE R, ÁGUA PLUVIAL, DN 100 X 100 MM, JUNTA ELÁSTICA, FORNECIDO E INSTALADO EM RAMAL DE ENCAMINHAMENTO. AF_06/2022</t>
  </si>
  <si>
    <t>14.6</t>
  </si>
  <si>
    <t>104178</t>
  </si>
  <si>
    <t>CAP, PVC, SERIE R, ÁGUA PLUVIAL, DN 100 MM, JUNTA ELÁSTICA, FORNECIDO E INSTALADO EM RAMAL DE ENCAMINHAMENTO. AF_06/2022</t>
  </si>
  <si>
    <t>14.7</t>
  </si>
  <si>
    <t>95695</t>
  </si>
  <si>
    <t>CURVA 90 GRAUS, PVC, SERIE R, ÁGUA PLUVIAL, DN 100 MM, JUNTA ELÁSTICA, FORNECIDO E INSTALADO EM CONDUTORES VERTICAIS DE ÁGUAS PLUVIAIS. AF_06/2022</t>
  </si>
  <si>
    <t>14.8</t>
  </si>
  <si>
    <t>89585</t>
  </si>
  <si>
    <t>JOELHO 45 GRAUS, PVC, SERIE R, ÁGUA PLUVIAL, DN 100 MM, JUNTA ELÁSTICA, FORNECIDO E INSTALADO EM CONDUTORES VERTICAIS DE ÁGUAS PLUVIAIS. AF_06/2022</t>
  </si>
  <si>
    <t>14.9</t>
  </si>
  <si>
    <t>89584</t>
  </si>
  <si>
    <t>JOELHO 90 GRAUS, PVC, SERIE R, ÁGUA PLUVIAL, DN 100 MM, JUNTA ELÁSTICA, FORNECIDO E INSTALADO EM CONDUTORES VERTICAIS DE ÁGUAS PLUVIAIS. AF_06/2022</t>
  </si>
  <si>
    <t>14.10</t>
  </si>
  <si>
    <t>104174</t>
  </si>
  <si>
    <t>JUNÇÃO SIMPLES, PVC, SERIE R, ÁGUA PLUVIAL, DN 150 X 100 MM, JUNTA ELÁSTICA, FORNECIDO E INSTALADO EM RAMAL DE ENCAMINHAMENTO. AF_06/2022</t>
  </si>
  <si>
    <t>14.11</t>
  </si>
  <si>
    <t>FNDE 30</t>
  </si>
  <si>
    <t>CURVA 45 GRAUS, PVC, SERIE R, ÁGUA PLUVIAL, DN 200 MM, VINILFORT, JUNTA ELÁSTICA, FORNECIDO E INSTALADO EM RAMAL DE ENCAMINHAMENTO</t>
  </si>
  <si>
    <t>14.12</t>
  </si>
  <si>
    <t>99253</t>
  </si>
  <si>
    <t>CAIXA ENTERRADA HIDRÁULICA RETANGULAR EM ALVENARIA COM TIJOLOS CERÂMICOS MACIÇOS, DIMENSÕES INTERNAS: 0,6X0,6X0,6 M PARA REDE DE DRENAGEM. AF_12/2020</t>
  </si>
  <si>
    <t>14.13</t>
  </si>
  <si>
    <t>FNDE 955</t>
  </si>
  <si>
    <t>TAMPA TIPO GRELHA FOFO SIMPLES PARA ESGOTO E DRENAGEM, 60X60CM</t>
  </si>
  <si>
    <t>14.14</t>
  </si>
  <si>
    <t>FNDE 78</t>
  </si>
  <si>
    <t>CISTERNA VERTICAL - RESERVATÓRIO ÁGUA DA CHUVA - 300 Litros</t>
  </si>
  <si>
    <t>14.15</t>
  </si>
  <si>
    <t>FNDE 79</t>
  </si>
  <si>
    <t>SMART FILTRO</t>
  </si>
  <si>
    <t>15</t>
  </si>
  <si>
    <t>INSTALAÇÕES DE ESGOTO SANITÁRIO</t>
  </si>
  <si>
    <t>15.1</t>
  </si>
  <si>
    <t>89711</t>
  </si>
  <si>
    <t>TUBO PVC, SERIE NORMAL, ESGOTO PREDIAL, DN 40 MM, FORNECIDO E INSTALADO EM RAMAL DE DESCARGA OU RAMAL DE ESGOTO SANITÁRIO. AF_08/2022</t>
  </si>
  <si>
    <t>15.2</t>
  </si>
  <si>
    <t>89712</t>
  </si>
  <si>
    <t>TUBO PVC, SERIE NORMAL, ESGOTO PREDIAL, DN 50 MM, FORNECIDO E INSTALADO EM RAMAL DE DESCARGA OU RAMAL DE ESGOTO SANITÁRIO. AF_08/2022</t>
  </si>
  <si>
    <t>15.3</t>
  </si>
  <si>
    <t>89713</t>
  </si>
  <si>
    <t>TUBO PVC, SERIE NORMAL, ESGOTO PREDIAL, DN 75 MM, FORNECIDO E INSTALADO EM RAMAL DE DESCARGA OU RAMAL DE ESGOTO SANITÁRIO. AF_08/2022</t>
  </si>
  <si>
    <t>15.4</t>
  </si>
  <si>
    <t>89714</t>
  </si>
  <si>
    <t>TUBO PVC, SERIE NORMAL, ESGOTO PREDIAL, DN 100 MM, FORNECIDO E INSTALADO EM RAMAL DE DESCARGA OU RAMAL DE ESGOTO SANITÁRIO. AF_08/2022</t>
  </si>
  <si>
    <t>15.5</t>
  </si>
  <si>
    <t>89849</t>
  </si>
  <si>
    <t>TUBO PVC, SERIE NORMAL, ESGOTO PREDIAL, DN 150 MM, FORNECIDO E INSTALADO EM SUBCOLETOR AÉREO DE ESGOTO SANITÁRIO. AF_08/2022</t>
  </si>
  <si>
    <t>15.6</t>
  </si>
  <si>
    <t>104341</t>
  </si>
  <si>
    <t>BUCHA DE REDUÇÃO LONGA, PVC, SÉRIE NORMAL, ESGOTO PREDIAL, DN 50 X 40 MM, JUNTA SOLDÁVEL E ELÁSTICA, FORNECIDO E INSTALADO EM RAMAL DE DESCARGA OU RAMAL DE ESGOTO SANITÁRIO. AF_08/2022</t>
  </si>
  <si>
    <t>15.7</t>
  </si>
  <si>
    <t>89728</t>
  </si>
  <si>
    <t>CURVA CURTA 90 GRAUS, PVC, SERIE NORMAL, ESGOTO PREDIAL, DN 40 MM, JUNTA SOLDÁVEL, FORNECIDO E INSTALADO EM RAMAL DE DESCARGA OU RAMAL DE ESGOTO SANITÁRIO. AF_08/2022</t>
  </si>
  <si>
    <t>15.8</t>
  </si>
  <si>
    <t>89733</t>
  </si>
  <si>
    <t>CURVA CURTA 90 GRAUS, PVC, SERIE NORMAL, ESGOTO PREDIAL, DN 50 MM, JUNTA ELÁSTICA, FORNECIDO E INSTALADO EM RAMAL DE DESCARGA OU RAMAL DE ESGOTO SANITÁRIO. AF_08/2022</t>
  </si>
  <si>
    <t>15.9</t>
  </si>
  <si>
    <t>89748</t>
  </si>
  <si>
    <t>CURVA CURTA 90 GRAUS, PVC, SERIE NORMAL, ESGOTO PREDIAL, DN 100 MM, JUNTA ELÁSTICA, FORNECIDO E INSTALADO EM RAMAL DE DESCARGA OU RAMAL DE ESGOTO SANITÁRIO. AF_08/2022</t>
  </si>
  <si>
    <t>15.10</t>
  </si>
  <si>
    <t>89726</t>
  </si>
  <si>
    <t>JOELHO 45 GRAUS, PVC, SERIE NORMAL, ESGOTO PREDIAL, DN 40 MM, JUNTA SOLDÁVEL, FORNECIDO E INSTALADO EM RAMAL DE DESCARGA OU RAMAL DE ESGOTO SANITÁRIO. AF_08/2022</t>
  </si>
  <si>
    <t>15.11</t>
  </si>
  <si>
    <t>89732</t>
  </si>
  <si>
    <t>JOELHO 45 GRAUS, PVC, SERIE NORMAL, ESGOTO PREDIAL, DN 50 MM, JUNTA ELÁSTICA, FORNECIDO E INSTALADO EM RAMAL DE DESCARGA OU RAMAL DE ESGOTO SANITÁRIO. AF_08/2022</t>
  </si>
  <si>
    <t>15.12</t>
  </si>
  <si>
    <t>89739</t>
  </si>
  <si>
    <t>JOELHO 45 GRAUS, PVC, SERIE NORMAL, ESGOTO PREDIAL, DN 75 MM, JUNTA ELÁSTICA, FORNECIDO E INSTALADO EM RAMAL DE DESCARGA OU RAMAL DE ESGOTO SANITÁRIO. AF_08/2022</t>
  </si>
  <si>
    <t>15.13</t>
  </si>
  <si>
    <t>89746</t>
  </si>
  <si>
    <t>JOELHO 45 GRAUS, PVC, SERIE NORMAL, ESGOTO PREDIAL, DN 100 MM, JUNTA ELÁSTICA, FORNECIDO E INSTALADO EM RAMAL DE DESCARGA OU RAMAL DE ESGOTO SANITÁRIO. AF_08/2022</t>
  </si>
  <si>
    <t>15.14</t>
  </si>
  <si>
    <t>89724</t>
  </si>
  <si>
    <t>JOELHO 90 GRAUS, PVC, SERIE NORMAL, ESGOTO PREDIAL, DN 40 MM, JUNTA SOLDÁVEL, FORNECIDO E INSTALADO EM RAMAL DE DESCARGA OU RAMAL DE ESGOTO SANITÁRIO. AF_08/2022</t>
  </si>
  <si>
    <t>15.15</t>
  </si>
  <si>
    <t>89731</t>
  </si>
  <si>
    <t>JOELHO 90 GRAUS, PVC, SERIE NORMAL, ESGOTO PREDIAL, DN 50 MM, JUNTA ELÁSTICA, FORNECIDO E INSTALADO EM RAMAL DE DESCARGA OU RAMAL DE ESGOTO SANITÁRIO. AF_08/2022</t>
  </si>
  <si>
    <t>15.16</t>
  </si>
  <si>
    <t>89744</t>
  </si>
  <si>
    <t>JOELHO 90 GRAUS, PVC, SERIE NORMAL, ESGOTO PREDIAL, DN 100 MM, JUNTA ELÁSTICA, FORNECIDO E INSTALADO EM RAMAL DE DESCARGA OU RAMAL DE ESGOTO SANITÁRIO. AF_08/2022</t>
  </si>
  <si>
    <t>15.17</t>
  </si>
  <si>
    <t>89797</t>
  </si>
  <si>
    <t>JUNÇÃO SIMPLES, PVC, SERIE NORMAL, ESGOTO PREDIAL, DN 100 X 100 MM, JUNTA ELÁSTICA, FORNECIDO E INSTALADO EM RAMAL DE DESCARGA OU RAMAL DE ESGOTO SANITÁRIO. AF_08/2022</t>
  </si>
  <si>
    <t>15.18</t>
  </si>
  <si>
    <t>89785</t>
  </si>
  <si>
    <t>JUNÇÃO SIMPLES, PVC, SERIE NORMAL, ESGOTO PREDIAL, DN 50 X 50 MM, JUNTA ELÁSTICA, FORNECIDO E INSTALADO EM RAMAL DE DESCARGA OU RAMAL DE ESGOTO SANITÁRIO. AF_08/2022</t>
  </si>
  <si>
    <t>15.19</t>
  </si>
  <si>
    <t>89783</t>
  </si>
  <si>
    <t>JUNÇÃO SIMPLES, PVC, SERIE NORMAL, ESGOTO PREDIAL, DN 40 MM, JUNTA SOLDÁVEL, FORNECIDO E INSTALADO EM RAMAL DE DESCARGA OU RAMAL DE ESGOTO SANITÁRIO. AF_08/2022</t>
  </si>
  <si>
    <t>15.20</t>
  </si>
  <si>
    <t>89569</t>
  </si>
  <si>
    <t>JUNÇÃO SIMPLES, PVC, SERIE R, ÁGUA PLUVIAL, DN 100 X 75 MM, JUNTA ELÁSTICA, FORNECIDO E INSTALADO EM RAMAL DE ENCAMINHAMENTO. AF_06/2022</t>
  </si>
  <si>
    <t>15.21</t>
  </si>
  <si>
    <t>FNDE 418</t>
  </si>
  <si>
    <t>JUNÇÃO SIMPLES, PVC, SERIE R, ÁGUA PLUVIAL, DN 100 x 50 MM, JUNTA ELÁSTICA, FORNECIDO E INSTALADO EM RAMAL DE ENCAMINHAMENTO</t>
  </si>
  <si>
    <t>15.22</t>
  </si>
  <si>
    <t>89784</t>
  </si>
  <si>
    <t>TE, PVC, SERIE NORMAL, ESGOTO PREDIAL, DN 50 X 50 MM, JUNTA ELÁSTICA, FORNECIDO E INSTALADO EM RAMAL DE DESCARGA OU RAMAL DE ESGOTO SANITÁRIO. AF_08/2022</t>
  </si>
  <si>
    <t>15.23</t>
  </si>
  <si>
    <t>15.24</t>
  </si>
  <si>
    <t>FNDE 971</t>
  </si>
  <si>
    <t>TAMPA FOFO SIMPLES PARA ESGOTO E DRENAGEM, 60X60CM</t>
  </si>
  <si>
    <t>15.25</t>
  </si>
  <si>
    <t>104328</t>
  </si>
  <si>
    <t>CAIXA SIFONADA, COM GRELHA QUADRADA, PVC, DN 150 X 150 X 50 MM, JUNTA SOLDÁVEL, FORNECIDA E INSTALADA EM RAMAL DE DESCARGA OU EM RAMAL DE ESGOTO SANITÁRIO. AF_08/2022</t>
  </si>
  <si>
    <t>15.26</t>
  </si>
  <si>
    <t>89708</t>
  </si>
  <si>
    <t>CAIXA SIFONADA, PVC, DN 150 X 185 X 75 MM, JUNTA ELÁSTICA, FORNECIDA E INSTALADA EM RAMAL DE DESCARGA OU EM RAMAL DE ESGOTO SANITÁRIO. AF_08/2022</t>
  </si>
  <si>
    <t>15.27</t>
  </si>
  <si>
    <t>89495</t>
  </si>
  <si>
    <t>RALO SIFONADO, PVC, DN 100 X 40 MM, JUNTA SOLDÁVEL, FORNECIDO E INSTALADO EM RAMAIS DE ENCAMINHAMENTO DE ÁGUA PLUVIAL. AF_06/2022</t>
  </si>
  <si>
    <t>15.28</t>
  </si>
  <si>
    <t>104330</t>
  </si>
  <si>
    <t>RALO LINEAR, COM GRELHA INOX, JUNTA SOLDÁVEL, FORNECIDO E INSTALADO EM RAMAL DE DESCARGA OU EM RAMAL DE ESGOTO SANITÁRIO</t>
  </si>
  <si>
    <t>15.29</t>
  </si>
  <si>
    <t>98102</t>
  </si>
  <si>
    <t>CAIXA DE GORDURA SIMPLES, CIRCULAR, EM CONCRETO PRÉ-MOLDADO, DIÂMETRO INTERNO = 0,4 M, ALTURA INTERNA = 0,4 M. AF_12/2020</t>
  </si>
  <si>
    <t>15.30</t>
  </si>
  <si>
    <t>98087</t>
  </si>
  <si>
    <t>TANQUE SÉPTICO RETANGULAR, EM ALVENARIA COM BLOCOS DE CONCRETO, DIMENSÕES INTERNAS: 1,6 X 4,6 X H=2,4 M, VOLUME ÚTIL: 14720 L (PARA 105 CONTRIBUINTES). AF_12/2020</t>
  </si>
  <si>
    <t>15.31</t>
  </si>
  <si>
    <t>98065</t>
  </si>
  <si>
    <t>SUMIDOURO CIRCULAR, EM CONCRETO PRÉ-MOLDADO, DIÂMETRO INTERNO = 2,88 M, ALTURA INTERNA = 3,0 M, ÁREA DE INFILTRAÇÃO: 31,4 M² (PARA 12 CONTRIBUINTES). AF_12/2020</t>
  </si>
  <si>
    <t>15.32</t>
  </si>
  <si>
    <t>98090</t>
  </si>
  <si>
    <t>FILTRO ANAERÓBIO RETANGULAR, EM ALVENARIA COM BLOCOS DE CONCRETO, DIMENSÕES INTERNAS: 1,4 X 3,0 X H=1,67 M, VOLUME ÚTIL: 5040 L (PARA 32 CONTRIBUINTES). AF_12/2020</t>
  </si>
  <si>
    <t>15.33</t>
  </si>
  <si>
    <t>15.34</t>
  </si>
  <si>
    <t>15.35</t>
  </si>
  <si>
    <t>15.36</t>
  </si>
  <si>
    <t>89753</t>
  </si>
  <si>
    <t>LUVA SIMPLES, PVC, SERIE NORMAL, ESGOTO PREDIAL, DN 50 MM, JUNTA ELÁSTICA, FORNECIDO E INSTALADO EM RAMAL DE DESCARGA OU RAMAL DE ESGOTO SANITÁRIO. AF_08/2022</t>
  </si>
  <si>
    <t>15.37</t>
  </si>
  <si>
    <t>104348</t>
  </si>
  <si>
    <t>TERMINAL DE VENTILAÇÃO, PVC, SÉRIE NORMAL, ESGOTO PREDIAL, DN 50 MM, JUNTA SOLDÁVEL, FORNECIDO E INSTALADO EM PRUMADA DE ESGOTO SANITÁRIO OU VENTILAÇÃO. AF_08/2022</t>
  </si>
  <si>
    <t>15.38</t>
  </si>
  <si>
    <t>15.39</t>
  </si>
  <si>
    <t>104344</t>
  </si>
  <si>
    <t>TE, PVC, SÉRIE NORMAL, ESGOTO PREDIAL, DN 100 X 50 MM, JUNTA ELÁSTICA, FORNECIDO E INSTALADO EM RAMAL DE DESCARGA OU RAMAL DE ESGOTO SANITÁRIO. AF_08/2022</t>
  </si>
  <si>
    <t>15.40</t>
  </si>
  <si>
    <t>15.41</t>
  </si>
  <si>
    <t>89630</t>
  </si>
  <si>
    <t>TE DE REDUÇÃO, PVC, SOLDÁVEL, DN 75MM X 50MM, INSTALADO EM PRUMADA DE ÁGUA - FORNECIMENTO E INSTALAÇÃO. AF_06/2022</t>
  </si>
  <si>
    <t>16</t>
  </si>
  <si>
    <t>LOUÇAS, ACESSÓRIOS E METAIS</t>
  </si>
  <si>
    <t>16.1</t>
  </si>
  <si>
    <t>95470</t>
  </si>
  <si>
    <t>VASO SANITARIO SIFONADO CONVENCIONAL COM LOUÇA BRANCA, INCLUSO CONJUNTO DE LIGAÇÃO PARA BACIA SANITÁRIA AJUSTÁVEL - FORNECIMENTO E INSTALAÇÃO. AF_01/2020</t>
  </si>
  <si>
    <t>16.2</t>
  </si>
  <si>
    <t>100848</t>
  </si>
  <si>
    <t>VASO SANITÁRIO INFANTIL LOUÇA BRANCA - FORNECIMENTO E INSTALACAO. AF_01/2020</t>
  </si>
  <si>
    <t>16.3</t>
  </si>
  <si>
    <t>100849</t>
  </si>
  <si>
    <t>ASSENTO SANITÁRIO CONVENCIONAL - FORNECIMENTO E INSTALACAO. AF_01/2020</t>
  </si>
  <si>
    <t>16.4</t>
  </si>
  <si>
    <t>100851</t>
  </si>
  <si>
    <t>ASSENTO SANITÁRIO INFANTIL - FORNECIMENTO E INSTALACAO. AF_01/2020</t>
  </si>
  <si>
    <t>16.5</t>
  </si>
  <si>
    <t>FNDE 11</t>
  </si>
  <si>
    <t>BANHEIRA PLÁSTICA RÍGIDA, 77x45x20cm DE EMBUTIR, CONFORME DETALHE DE PROJETO</t>
  </si>
  <si>
    <t>16.6</t>
  </si>
  <si>
    <t>FNDE 219</t>
  </si>
  <si>
    <t>LAVATÓRIO DE CANTO, LOUÇA BRANCA SUSPENSO, 29,5 X 39CM OU EQUIVALENTE, PADRÃO POPULAR - FORNECIMENTO E INSTALAÇÃO</t>
  </si>
  <si>
    <t>16.7</t>
  </si>
  <si>
    <t>86901</t>
  </si>
  <si>
    <t>CUBA DE EMBUTIR OVAL EM LOUÇA BRANCA, 35 X 50CM OU EQUIVALENTE - FORNECIMENTO E INSTALAÇÃO. AF_01/2020</t>
  </si>
  <si>
    <t>16.8</t>
  </si>
  <si>
    <t>86902</t>
  </si>
  <si>
    <t>LAVATÓRIO LOUÇA BRANCA COM COLUNA, *44 X 35,5* CM, PADRÃO POPULAR - FORNECIMENTO E INSTALAÇÃO. AF_01/2020</t>
  </si>
  <si>
    <t>16.9</t>
  </si>
  <si>
    <t>86872</t>
  </si>
  <si>
    <t>TANQUE DE LOUÇA BRANCA COM COLUNA, 30L OU EQUIVALENTE - FORNECIMENTO E INSTALAÇÃO. AF_01/2020</t>
  </si>
  <si>
    <t>16.10</t>
  </si>
  <si>
    <t>86900</t>
  </si>
  <si>
    <t>CUBA DE EMBUTIR RETANGULAR DE AÇO INOXIDÁVEL, 46 X 30 X 12 CM - FORNECIMENTO E INSTALAÇÃO. AF_01/2020</t>
  </si>
  <si>
    <t>16.11</t>
  </si>
  <si>
    <t>FNDE 217</t>
  </si>
  <si>
    <t>CUBA DE EMBUTIR RETANGULAR DE AÇO INOXIDÁVEL, 50 X 40 X 20 CM - FORNECIMENTO E INSTALAÇÃO</t>
  </si>
  <si>
    <t>16.12</t>
  </si>
  <si>
    <t>100852</t>
  </si>
  <si>
    <t>CUBA DE EMBUTIR RETANGULAR DE AÇO INOXIDÁVEL, 56 X 33 X 12 CM - FORNECIMENTO E INSTALAÇÃO. AF_01/2020</t>
  </si>
  <si>
    <t>16.13</t>
  </si>
  <si>
    <t>86877</t>
  </si>
  <si>
    <t>VÁLVULA EM METAL CROMADO 1.1/2" X 1.1/2" PARA TANQUE OU LAVATÓRIO, COM OU SEM LADRÃO - FORNECIMENTO E INSTALAÇÃO. AF_01/2020</t>
  </si>
  <si>
    <t>16.14</t>
  </si>
  <si>
    <t>86878</t>
  </si>
  <si>
    <t>VÁLVULA EM METAL CROMADO TIPO AMERICANA 3.1/2" X 1.1/2" PARA PIA - FORNECIMENTO E INSTALAÇÃO. AF_01/2020</t>
  </si>
  <si>
    <t>16.15</t>
  </si>
  <si>
    <t>86883</t>
  </si>
  <si>
    <t>SIFÃO DO TIPO FLEXÍVEL EM PVC 1 X 1.1/2 - FORNECIMENTO E INSTALAÇÃO. AF_01/2020</t>
  </si>
  <si>
    <t>16.16</t>
  </si>
  <si>
    <t>86882</t>
  </si>
  <si>
    <t>SIFÃO DO TIPO GARRAFA/COPO EM PVC 1.1/4 X 1.1/2" - FORNECIMENTO E INSTALAÇÃO. AF_01/2020</t>
  </si>
  <si>
    <t>16.17</t>
  </si>
  <si>
    <t>FNDE 224</t>
  </si>
  <si>
    <t>TORNEIRA CROMADA DE MESA, 1/2 OU 3/4 , PARA LAVATÓRIO, COM TEMPORIZADOR - FORNECIMENTO E INSTALAÇÃO.</t>
  </si>
  <si>
    <t>16.18</t>
  </si>
  <si>
    <t>86911</t>
  </si>
  <si>
    <t>TORNEIRA CROMADA LONGA, DE PAREDE, 1/2" OU 3/4", PARA PIA DE COZINHA, PADRÃO POPULAR - FORNECIMENTO E INSTALAÇÃO. AF_01/2020</t>
  </si>
  <si>
    <t>16.19</t>
  </si>
  <si>
    <t>FNDE 14</t>
  </si>
  <si>
    <t>TORNEIRA ELETRICA DE PAREDE, BICA ALTA, PARA COZINHA, 5500 W (110/220 V)</t>
  </si>
  <si>
    <t>16.20</t>
  </si>
  <si>
    <t>86913</t>
  </si>
  <si>
    <t>TORNEIRA CROMADA 1/2" OU 3/4" PARA TANQUE, PADRÃO POPULAR - FORNECIMENTO E INSTALAÇÃO. AF_01/2020</t>
  </si>
  <si>
    <t>16.21</t>
  </si>
  <si>
    <t>FNDE 225</t>
  </si>
  <si>
    <t>TORNEIRA CROMADA DE MESA PARA LAVATORIO, TIPO MONOCOMANDO - ACIONAMENTO TIPO ALAVANCA</t>
  </si>
  <si>
    <t>16.22</t>
  </si>
  <si>
    <t>FNDE 13</t>
  </si>
  <si>
    <t>TORNEIRA ELÉTRICA COM MANGUEIRA PLÁSTICA FORTTI MAXI, LORENZETTI OU EQUIVALENTE</t>
  </si>
  <si>
    <t>16.23</t>
  </si>
  <si>
    <t>86887</t>
  </si>
  <si>
    <t>ENGATE FLEXÍVEL EM INOX, 1/2 X 40CM - FORNECIMENTO E INSTALAÇÃO. AF_01/2020</t>
  </si>
  <si>
    <t>16.24</t>
  </si>
  <si>
    <t>100860</t>
  </si>
  <si>
    <t>CHUVEIRO ELÉTRICO COMUM CORPO PLÁSTICO, TIPO DUCHA - FORNECIMENTO E INSTALAÇÃO. AF_01/2020</t>
  </si>
  <si>
    <t>16.25</t>
  </si>
  <si>
    <t>FNDE 934</t>
  </si>
  <si>
    <t>DUCHA HIGIENICA PLASTICA COM REGISTRO METALICO 1/2" - FORNECIMENTO E INSTALAÇÃO. AF_01/2020</t>
  </si>
  <si>
    <t>16.26</t>
  </si>
  <si>
    <t>FNDE 226</t>
  </si>
  <si>
    <t>BARRA DE APOIO RETA, EM ACO INOX POLIDO, COMPRIMENTO 40CM, FIXADA NA PAREDE - FORNECIMENTO E INSTALAÇÃO</t>
  </si>
  <si>
    <t>16.27</t>
  </si>
  <si>
    <t>100867</t>
  </si>
  <si>
    <t>BARRA DE APOIO RETA, EM ACO INOX POLIDO, COMPRIMENTO 70 CM, FIXADA NA PAREDE - FORNECIMENTO E INSTALAÇÃO. AF_01/2020</t>
  </si>
  <si>
    <t>16.28</t>
  </si>
  <si>
    <t>100868</t>
  </si>
  <si>
    <t>BARRA DE APOIO RETA, EM ACO INOX POLIDO, COMPRIMENTO 80 CM, FIXADA NA PAREDE - FORNECIMENTO E INSTALAÇÃO. AF_01/2020</t>
  </si>
  <si>
    <t>16.29</t>
  </si>
  <si>
    <t>100875</t>
  </si>
  <si>
    <t>BANCO ARTICULADO, EM ACO INOX, PARA PCD, FIXADO NA PAREDE - FORNECIMENTO E INSTALAÇÃO. AF_01/2020</t>
  </si>
  <si>
    <t>16.30</t>
  </si>
  <si>
    <t>FNDE 15</t>
  </si>
  <si>
    <t>TOALHEIRO PLASTICO TIPO DISPENSER PARA PAPEL TOALHA INTERFOLHADO, FORNECIMENTO E INSTALAÇÃO.</t>
  </si>
  <si>
    <t>16.31</t>
  </si>
  <si>
    <t>FNDE 16</t>
  </si>
  <si>
    <t>PAPELEIRA PLASTICA TIPO DISPENSER PARA PAPEL HIGIENICO ROLAO, INCLUSO FIXAÇÃO, FORNECIMENTO E INSTALAÇÃO.</t>
  </si>
  <si>
    <t>16.32</t>
  </si>
  <si>
    <t>95547</t>
  </si>
  <si>
    <t>SABONETEIRA PLASTICA TIPO DISPENSER PARA SABONETE LIQUIDO COM RESERVATORIO 800 A 1500 ML, INCLUSO FIXAÇÃO. AF_01/2020</t>
  </si>
  <si>
    <t>16.33</t>
  </si>
  <si>
    <t>FNDE 12</t>
  </si>
  <si>
    <t>ESPELHO CRISTAL, ESPESSURA 4MM, SEM MOLDURA, APARAFUSADO COM PARAFUSO EM ACO ZINCADO COM ROSCA SOBERBA, COM ÁREA MENOR OU IGUAL A 1,0 M2.</t>
  </si>
  <si>
    <t>16.34</t>
  </si>
  <si>
    <t>FNDE 34</t>
  </si>
  <si>
    <t>CABIDE/GANCHO DE BANHEIRO SIMPLES EM METAL CROMADO, INCLUSO FIXAÇÃO.</t>
  </si>
  <si>
    <t>17</t>
  </si>
  <si>
    <t>INSTALAÇÕES DE PROTEÇÃO CONTRA INCÊNDIO</t>
  </si>
  <si>
    <t>17.1</t>
  </si>
  <si>
    <t>101908</t>
  </si>
  <si>
    <t>EXTINTOR DE INCÊNDIO PORTÁTIL COM CARGA DE PQS DE 4 KG, CLASSE BC - FORNECIMENTO E INSTALAÇÃO. AF_01/2026_PE</t>
  </si>
  <si>
    <t>17.2</t>
  </si>
  <si>
    <t>101909</t>
  </si>
  <si>
    <t>EXTINTOR DE INCÊNDIO PORTÁTIL COM CARGA DE PQS DE 6 KG, CLASSE BC - FORNECIMENTO E INSTALAÇÃO. AF_01/2026_PE</t>
  </si>
  <si>
    <t>17.3</t>
  </si>
  <si>
    <t>101912</t>
  </si>
  <si>
    <t>ABRIGO PARA HIDRANTE, 75X45X17CM, COM REGISTRO GLOBO ANGULAR 45 GRAUS 2 1/2", ADAPTADOR STORZ 2 1/2", MANGUEIRA DE INCÊNDIO 15M 2 1/2" E ESGUICHO EM LATÃO 2 1/2" - FORNECIMENTO E INSTALAÇÃO. AF_01/2026</t>
  </si>
  <si>
    <t>17.4</t>
  </si>
  <si>
    <t>106677</t>
  </si>
  <si>
    <t>REGISTRO DE RECALQUE, HIDRANTE SUBTERRÂNEO PREDIAL, 65 MM - FORNECIMENTO E INSTALAÇÃO. AF_01/2026</t>
  </si>
  <si>
    <t>17.5</t>
  </si>
  <si>
    <t>17.6</t>
  </si>
  <si>
    <t>103037</t>
  </si>
  <si>
    <t>REGISTRO DE ESFERA, PVC, ROSCÁVEL, COM VOLANTE, 1" - FORNECIMENTO E INSTALAÇÃO. AF_08/2021</t>
  </si>
  <si>
    <t>17.7</t>
  </si>
  <si>
    <t>17.8</t>
  </si>
  <si>
    <t>99622</t>
  </si>
  <si>
    <t>VÁLVULA DE RETENÇÃO HORIZONTAL, DE BRONZE, ROSCÁVEL, 1 1/2" - FORNECIMENTO E INSTALAÇÃO. AF_08/2021</t>
  </si>
  <si>
    <t>17.9</t>
  </si>
  <si>
    <t>99629</t>
  </si>
  <si>
    <t>VÁLVULA DE RETENÇÃO VERTICAL, DE BRONZE, ROSCÁVEL, 1" - FORNECIMENTO E INSTALAÇÃO. AF_08/2021</t>
  </si>
  <si>
    <t>17.10</t>
  </si>
  <si>
    <t>99625</t>
  </si>
  <si>
    <t>VÁLVULA DE RETENÇÃO HORIZONTAL, DE BRONZE, ROSCÁVEL, 3" - FORNECIMENTO E INSTALAÇÃO. AF_08/2021</t>
  </si>
  <si>
    <t>17.11</t>
  </si>
  <si>
    <t>FNDE 261</t>
  </si>
  <si>
    <t>REGISTRO OU VÁLVULA GLOBO ANGULAR EM LATÃO, PARA HIDRANTES EM INSTALAÇÃO PREDIAL DE INCÊNDIO, 45 GRAUS, 1 1/2" - FORNECIMENTO E INSTALAÇÃO. AF_08/2021</t>
  </si>
  <si>
    <t>17.12</t>
  </si>
  <si>
    <t>101917</t>
  </si>
  <si>
    <t>MANÔMETRO 0 A 200 PSI (0 A 14 KGF/CM2), D = 50MM - FORNECIMENTO E INSTALAÇÃO. AF_01/2026</t>
  </si>
  <si>
    <t>17.13</t>
  </si>
  <si>
    <t>FNDE 332</t>
  </si>
  <si>
    <t>MOTO BOMBA 5.00 CV - VAZÃO 12.0 m³/h - PRESSÃO 15 MCA - FORNECIMENTO E INSTALAÇÃO</t>
  </si>
  <si>
    <t>17.14</t>
  </si>
  <si>
    <t>FNDE 112</t>
  </si>
  <si>
    <t>PRESSOSTATO</t>
  </si>
  <si>
    <t>17.15</t>
  </si>
  <si>
    <t>102118</t>
  </si>
  <si>
    <t>BOMBA CENTRÍFUGA, TRIFÁSICA, 3 CV OU 2,96 HP, HM 34 A 40 M, Q 8,6 A 14,8 M3/H - FORNECIMENTO E INSTALAÇÃO. AF_11/2025_PS</t>
  </si>
  <si>
    <t>17.16</t>
  </si>
  <si>
    <t>FNDE 603</t>
  </si>
  <si>
    <t>BOMBA JOCKEY IP-21 BT4 60Hz, PRESSÃO 15 MCA - VAZÃO 1,23 M³/H - FORNECIMENTO E INSTALAÇÃO</t>
  </si>
  <si>
    <t>17.17</t>
  </si>
  <si>
    <t>FNDE 67</t>
  </si>
  <si>
    <t>CENTRAL ALARME ENDEREÇAVEL</t>
  </si>
  <si>
    <t>17.18</t>
  </si>
  <si>
    <t>FNDE 501</t>
  </si>
  <si>
    <t>SIRENE AUDIOVISUAL TIPO ENDEREÇÁVEL</t>
  </si>
  <si>
    <t>17.19</t>
  </si>
  <si>
    <t>FNDE 502</t>
  </si>
  <si>
    <t>ACIONADOR MANUAL QUEBRA-VIDRO ENDEREÇÁVEL</t>
  </si>
  <si>
    <t>17.20</t>
  </si>
  <si>
    <t>91924</t>
  </si>
  <si>
    <t>CABO DE COBRE FLEXÍVEL ISOLADO, 1,5 MM², ANTI-CHAMA 450/750 V, PARA CIRCUITOS TERMINAIS - FORNECIMENTO E INSTALAÇÃO. AF_03/2023</t>
  </si>
  <si>
    <t>17.21</t>
  </si>
  <si>
    <t>91926</t>
  </si>
  <si>
    <t>CABO DE COBRE FLEXÍVEL ISOLADO, 2,5 MM², ANTI-CHAMA 450/750 V, PARA CIRCUITOS TERMINAIS - FORNECIMENTO E INSTALAÇÃO. AF_03/2023</t>
  </si>
  <si>
    <t>17.22</t>
  </si>
  <si>
    <t>97498</t>
  </si>
  <si>
    <t>TUBO DE AÇO GALVANIZADO COM COSTURA, CLASSE MÉDIA, DN 25 (1"), CONEXÃO ROSQUEADA, INSTALADO EM REDE DE ALIMENTAÇÃO PARA HIDRANTE - FORNECIMENTO E INSTALAÇÃO. AF_01/2026</t>
  </si>
  <si>
    <t>17.23</t>
  </si>
  <si>
    <t>92365</t>
  </si>
  <si>
    <t>TUBO DE AÇO GALVANIZADO COM COSTURA, CLASSE MÉDIA, DN 40 (1 1/2"), CONEXÃO ROSQUEADA, INSTALADO EM REDE DE ALIMENTAÇÃO PARA HIDRANTE - FORNECIMENTO E INSTALAÇÃO. AF_01/2026</t>
  </si>
  <si>
    <t>17.24</t>
  </si>
  <si>
    <t>92367</t>
  </si>
  <si>
    <t>TUBO DE AÇO GALVANIZADO COM COSTURA, CLASSE MÉDIA, DN 65 (2 1/2"), CONEXÃO ROSQUEADA, INSTALADO EM REDE DE ALIMENTAÇÃO PARA HIDRANTE - FORNECIMENTO E INSTALAÇÃO. AF_01/2026</t>
  </si>
  <si>
    <t>17.25</t>
  </si>
  <si>
    <t>92368</t>
  </si>
  <si>
    <t>TUBO DE AÇO GALVANIZADO COM COSTURA, CLASSE MÉDIA, DN 80 (3"), CONEXÃO ROSQUEADA, INSTALADO EM REDE DE ALIMENTAÇÃO PARA HIDRANTE - FORNECIMENTO E INSTALAÇÃO. AF_01/2026</t>
  </si>
  <si>
    <t>17.26</t>
  </si>
  <si>
    <t>FNDE 329</t>
  </si>
  <si>
    <t>COTOVELO 90 GRAUS, EM FERRO GALVANIZADO, CONEXÃO ROSQUEADA, DN 25, INSTALADO EM RESERVAÇÃO DE ÁGUA DE EDIFICAÇÃO QUE POSSUA RESERVATÓRIO DE FIBRA/FIBROCIMENTO - FORNECIMENTO E INSTALAÇÃO.</t>
  </si>
  <si>
    <t>17.27</t>
  </si>
  <si>
    <t>FNDE 328</t>
  </si>
  <si>
    <t>COTOVELO 90 GRAUS, EM FERRO GALVANIZADO, CONEXÃO ROSQUEADA, DN 40, INSTALADO EM RESERVAÇÃO DE ÁGUA DE EDIFICAÇÃO QUE POSSUA RESERVATÓRIO DE FIBRA/FIBROCIMENTO - FORNECIMENTO E INSTALAÇÃO.</t>
  </si>
  <si>
    <t>17.28</t>
  </si>
  <si>
    <t>94473</t>
  </si>
  <si>
    <t>COTOVELO 90 GRAUS, EM FERRO GALVANIZADO, CONEXÃO ROSQUEADA, DN 65 MM (2 1/2"), INSTALADO EM RESERVAÇÃO PREDIAL DE ÁGUA - FORNECIMENTO E INSTALAÇÃO. AF_04/2024</t>
  </si>
  <si>
    <t>17.29</t>
  </si>
  <si>
    <t>94475</t>
  </si>
  <si>
    <t>COTOVELO 90 GRAUS, EM FERRO GALVANIZADO, CONEXÃO ROSQUEADA, DN 80 MM (3"), INSTALADO EM RESERVAÇÃO PREDIAL DE ÁGUA - FORNECIMENTO E INSTALAÇÃO. AF_04/2024</t>
  </si>
  <si>
    <t>17.30</t>
  </si>
  <si>
    <t>FNDE 345</t>
  </si>
  <si>
    <t>BUCHA DE REDUCAO DE FERRO GALVANIZADO, COM ROSCA BSP, DE 3/4" X 1/2"</t>
  </si>
  <si>
    <t>17.31</t>
  </si>
  <si>
    <t>92920</t>
  </si>
  <si>
    <t>LUVA DE REDUÇÃO, EM FERRO GALVANIZADO, 1" X 3/4", CONEXÃO ROSQUEADA, INSTALADO EM REDE DE ALIMENTAÇÃO PARA HIDRANTE - FORNECIMENTO E INSTALAÇÃO. AF_01/2026</t>
  </si>
  <si>
    <t>17.32</t>
  </si>
  <si>
    <t>FNDE 333</t>
  </si>
  <si>
    <t>LUVA COM REDUÇÃO, EM AÇO, CONEXÃO SOLDADA, DN 40 X 25 MM (1 1/2" X 1"), INSTALADO EM REDE DE ALIMENTAÇÃO PARA HIDRANTE - FORNECIMENTO E INSTALAÇÃO.</t>
  </si>
  <si>
    <t>17.33</t>
  </si>
  <si>
    <t>FNDE 335</t>
  </si>
  <si>
    <t>LUVA COM REDUÇÃO, EM AÇO, CONEXÃO SOLDADA, DN 80 X 40 MM , INSTALADO EM PRUMADAS - FORNECIMENTO E INSTALAÇÃO</t>
  </si>
  <si>
    <t>17.34</t>
  </si>
  <si>
    <t>FNDE 336</t>
  </si>
  <si>
    <t>LUVA COM REDUÇÃO, EM AÇO, CONEXÃO SOLDADA, DN 80 X 50 MM, INSTALADO EM PRUMADAS - FORNECIMENTO E INSTALAÇÃO.</t>
  </si>
  <si>
    <t>17.35</t>
  </si>
  <si>
    <t>97450</t>
  </si>
  <si>
    <t>LUVA COM REDUÇÃO, EM AÇO, CONEXÃO SOLDADA, DN 80 X 65 MM (3" X 2 1/2"), INSTALADO EM PRUMADAS - FORNECIMENTO E INSTALAÇÃO. AF_01/2026</t>
  </si>
  <si>
    <t>17.36</t>
  </si>
  <si>
    <t>92637</t>
  </si>
  <si>
    <t>TÊ, EM FERRO GALVANIZADO, CONEXÃO ROSQUEADA, DN 25 (1"), INSTALADO EM REDE DE ALIMENTAÇÃO PARA HIDRANTE - FORNECIMENTO E INSTALAÇÃO. AF_01/2026</t>
  </si>
  <si>
    <t>17.37</t>
  </si>
  <si>
    <t>FNDE 339</t>
  </si>
  <si>
    <t>TE DE REDUCAO DE FERRO GALVANIZADO, COM ROSCA BSP, DE 2 1/2" X 1"</t>
  </si>
  <si>
    <t>17.38</t>
  </si>
  <si>
    <t>92642</t>
  </si>
  <si>
    <t>TÊ, EM FERRO GALVANIZADO, CONEXÃO ROSQUEADA, DN 65 (2 1/2"), INSTALADO EM REDE DE ALIMENTAÇÃO PARA HIDRANTE - FORNECIMENTO E INSTALAÇÃO. AF_01/2026</t>
  </si>
  <si>
    <t>17.39</t>
  </si>
  <si>
    <t>92644</t>
  </si>
  <si>
    <t>TÊ, EM FERRO GALVANIZADO, CONEXÃO ROSQUEADA, DN 80 (3"), INSTALADO EM REDE DE ALIMENTAÇÃO PARA HIDRANTE - FORNECIMENTO E INSTALAÇÃO. AF_01/2026</t>
  </si>
  <si>
    <t>17.40</t>
  </si>
  <si>
    <t>95816</t>
  </si>
  <si>
    <t>CONDULETE DE PVC, TIPO X, PARA ELETRODUTO DE PVC SOLDÁVEL DN 20 MM (1/2''), APARENTE - FORNECIMENTO E INSTALAÇÃO. AF_01/2026</t>
  </si>
  <si>
    <t>17.41</t>
  </si>
  <si>
    <t>95727</t>
  </si>
  <si>
    <t>ELETRODUTO RÍGIDO SOLDÁVEL, PVC, DN 25 MM (3/4"), APARENTE - FORNECIMENTO E INSTALAÇÃO. AF_01/2026</t>
  </si>
  <si>
    <t>17.42</t>
  </si>
  <si>
    <t>91914</t>
  </si>
  <si>
    <t>CURVA 90 GRAUS PARA ELETRODUTO, PVC, ROSCÁVEL, DN 25 MM (3/4"), PARA CIRCUITOS TERMINAIS, INSTALADA EM PAREDE - FORNECIMENTO E INSTALAÇÃO. AF_03/2023</t>
  </si>
  <si>
    <t>17.43</t>
  </si>
  <si>
    <t>FNDE 330</t>
  </si>
  <si>
    <t>TAMPA CEGA EM PVC PARA CONDULETE 4 X 2"</t>
  </si>
  <si>
    <t>17.44</t>
  </si>
  <si>
    <t>91875</t>
  </si>
  <si>
    <t>LUVA PARA ELETRODUTO, PVC, ROSCÁVEL, DN 25 MM (3/4"), PARA CIRCUITOS TERMINAIS, INSTALADA EM FORRO - FORNECIMENTO E INSTALAÇÃO. AF_03/2023</t>
  </si>
  <si>
    <t>17.45</t>
  </si>
  <si>
    <t>FNDE 604</t>
  </si>
  <si>
    <t>ADAPTADOR PARA CONDULETE 25MM</t>
  </si>
  <si>
    <t>17.46</t>
  </si>
  <si>
    <t>FNDE 711</t>
  </si>
  <si>
    <t>BUCHA DE REDUCAO DE FERRO GALVANIZADO, COM ROSCA BSP, DE 3/8" x 1/4"</t>
  </si>
  <si>
    <t>17.47</t>
  </si>
  <si>
    <t>FNDE 710</t>
  </si>
  <si>
    <t>BUCHA DE REDUCAO DE FERRO GALVANIZADO, COM ROSCA BSP, DE 1/2" x 3/8"</t>
  </si>
  <si>
    <t>17.48</t>
  </si>
  <si>
    <t>FNDE 334</t>
  </si>
  <si>
    <t>LUVA COM REDUÇÃO, EM AÇO, CONEXÃO SOLDADA, DN 80 X 38 MM (3" X 2 1/2"), INSTALADO EM PRUMADAS - FORNECIMENTO E INSTALAÇÃO.</t>
  </si>
  <si>
    <t>17.49</t>
  </si>
  <si>
    <t>97509</t>
  </si>
  <si>
    <t>LUVA COM REDUÇÃO, EM AÇO, CONEXÃO SOLDADA, DN 50 X 40 MM (2" X 1 1/2"), INSTALADO EM REDE DE ALIMENTAÇÃO PARA SPRINKLER - FORNECIMENTO E INSTALAÇÃO. AF_01/2026</t>
  </si>
  <si>
    <t>17.50</t>
  </si>
  <si>
    <t>17.51</t>
  </si>
  <si>
    <t>FNDE 337</t>
  </si>
  <si>
    <t>TE DE REDUCAO DE FERRO GALVANIZADO, COM ROSCA BSP, DE 1" X 3/4"</t>
  </si>
  <si>
    <t>17.52</t>
  </si>
  <si>
    <t>91179</t>
  </si>
  <si>
    <t>FIXAÇÃO DE TUBOS HORIZONTAIS DE PVC ÁGUA/PVC ESGOTO/PVC PLUVIAL/CPVC/PPR/COBRE OU AÇO, DIÂMETROS MENORES OU IGUAIS A 40 MM, COM ABRAÇADEIRA METÁLICA RÍGIDA TIPO D COM PARAFUSO DE FIXAÇÃO 1 1/4", FIXADA DIRETAMENTE NA LAJE OU PAREDE. AF_09/2023</t>
  </si>
  <si>
    <t>17.53</t>
  </si>
  <si>
    <t>91181</t>
  </si>
  <si>
    <t>FIXAÇÃO DE TUBOS HORIZONTAIS DE PVC ÁGUA/PVC ESGOTO/PVC PLUVIAL/CPVC/PPR/COBRE OU AÇO, DIÂMETROS MAIORES QUE 75 MM E MENORES OU IGUAIS A 100 MM, COM ABRAÇADEIRA TIPO D COM PARAFUSO DE FIXAÇÃO 4", FIXADA DIRETAMENTE NA LAJE OU PAREDE. AF_09/2023</t>
  </si>
  <si>
    <t>17.54</t>
  </si>
  <si>
    <t>97599</t>
  </si>
  <si>
    <t>LUMINÁRIA DE EMERGÊNCIA, COM 30 LÂMPADAS LED DE 2 W, SEM REATOR - FORNECIMENTO E INSTALAÇÃO. AF_09/2024</t>
  </si>
  <si>
    <t>17.55</t>
  </si>
  <si>
    <t>FNDE 303</t>
  </si>
  <si>
    <t>SINALIZAÇÃO COM PLACA INDICATIVA FIXADA NA ESTRUTURA.</t>
  </si>
  <si>
    <t>17.56</t>
  </si>
  <si>
    <t>FNDE 412</t>
  </si>
  <si>
    <t>PINTURA DE PISO COM TINTA EPÓXI, COR VERMELHO, APLICAÇÃO MANUAL, 2 DEMÃOS, INCLUSO PRIMER EPÓXI</t>
  </si>
  <si>
    <t>17.57</t>
  </si>
  <si>
    <t>18</t>
  </si>
  <si>
    <t>INSTALAÇÕES ELÉTRICAS - 220V</t>
  </si>
  <si>
    <t>18.1</t>
  </si>
  <si>
    <t>FNDE 347</t>
  </si>
  <si>
    <t>ARRUELA EM ALUMINIO, COM ROSCA, DE 1 1/2", PARA ELETRODUTO</t>
  </si>
  <si>
    <t>18.2</t>
  </si>
  <si>
    <t>FNDE 353</t>
  </si>
  <si>
    <t>ARRUELA EM ALUMINIO</t>
  </si>
  <si>
    <t>18.3</t>
  </si>
  <si>
    <t>91940</t>
  </si>
  <si>
    <t>CAIXA RETANGULAR 4" X 2" MÉDIA (1,30 M DO PISO), PVC, INSTALADA EM PAREDE - FORNECIMENTO E INSTALAÇÃO. AF_03/2023</t>
  </si>
  <si>
    <t>18.4</t>
  </si>
  <si>
    <t>FNDE 906</t>
  </si>
  <si>
    <t>CAIXA OCTOGONAL 4" X 4", PVC, INSTALADA EM FORRO OU PISO - FORNECIMENTO E INSTALAÇÃO.</t>
  </si>
  <si>
    <t>18.5</t>
  </si>
  <si>
    <t>FNDE 150</t>
  </si>
  <si>
    <t>CURVA 135 GRAUS PARA ELETRODUTO, PVC, ROSCÁVEL, DN 38 MM (1 1/2"), PARA CIRCUITOS TERMINAIS, INSTALADA EM PAREDE - FORNECIMENTO E INSTALAÇÃO.</t>
  </si>
  <si>
    <t>18.6</t>
  </si>
  <si>
    <t>104396</t>
  </si>
  <si>
    <t>CONDULETE DE PVC, TIPO E, PARA ELETRODUTO DE PVC SOLDÁVEL DN 25 MM (3/4''), APARENTE - FORNECIMENTO E INSTALAÇÃO. AF_01/2026</t>
  </si>
  <si>
    <t>18.7</t>
  </si>
  <si>
    <t>91876</t>
  </si>
  <si>
    <t>LUVA PARA ELETRODUTO, PVC, ROSCÁVEL, DN 32 MM (1"), PARA CIRCUITOS TERMINAIS, INSTALADA EM FORRO - FORNECIMENTO E INSTALAÇÃO. AF_03/2023</t>
  </si>
  <si>
    <t>18.8</t>
  </si>
  <si>
    <t>91874</t>
  </si>
  <si>
    <t>LUVA PARA ELETRODUTO, PVC, ROSCÁVEL, DN 20 MM (1/2"), PARA CIRCUITOS TERMINAIS, INSTALADA EM FORRO - FORNECIMENTO E INSTALAÇÃO. AF_03/2023</t>
  </si>
  <si>
    <t>18.9</t>
  </si>
  <si>
    <t>93013</t>
  </si>
  <si>
    <t>LUVA PARA ELETRODUTO, PVC, ROSCÁVEL, DN 50 MM (1 1/2"), PARA REDE ENTERRADA DE DISTRIBUIÇÃO DE ENERGIA ELÉTRICA - FORNECIMENTO E INSTALAÇÃO. AF_12/2021</t>
  </si>
  <si>
    <t>18.10</t>
  </si>
  <si>
    <t>18.11</t>
  </si>
  <si>
    <t>FNDE 354</t>
  </si>
  <si>
    <t>BUCHA DE NYLON</t>
  </si>
  <si>
    <t>18.12</t>
  </si>
  <si>
    <t>FNDE 355</t>
  </si>
  <si>
    <t>PARAFUSO DE ACO ZINCADO COM ROSCA SOBERBA, CABECA CHATA E FENDA SIMPLES, DIAMETRO 4,2 MM, COMPRIMENTO * 32 * MM</t>
  </si>
  <si>
    <t>18.13</t>
  </si>
  <si>
    <t>FNDE 356</t>
  </si>
  <si>
    <t>PORCA ZINCADA, SEXTAVADA, DIAMETRO 1/4"</t>
  </si>
  <si>
    <t>18.14</t>
  </si>
  <si>
    <t>90460</t>
  </si>
  <si>
    <t>SUPORTE PARA 2 TUBOS HORIZONTAIS, ESPAÇADO A CADA 56 CM, EM PERFILADO COM COMPRIMENTO DE 25 CM FIXADO EM LAJE, POR METRO DE TUBULAÇÃO FIXADA. AF_09/2023</t>
  </si>
  <si>
    <t>18.15</t>
  </si>
  <si>
    <t>FNDE 357</t>
  </si>
  <si>
    <t>VERGALHAO ZINCADO ROSCA TOTAL, 1/4 " (6,3 MM)</t>
  </si>
  <si>
    <t>18.16</t>
  </si>
  <si>
    <t>101553</t>
  </si>
  <si>
    <t>ALÇA PREFORMADA DE DISTRIBUIÇÃO, EM AÇO GALVANIZADO, AWG 1 - FORNECIMENTO E INSTALAÇÃO. AF_12/2025</t>
  </si>
  <si>
    <t>18.17</t>
  </si>
  <si>
    <t>FNDE 358</t>
  </si>
  <si>
    <t>ARMACAO VERTICAL COM HASTE E CONTRA-PINO, EM CHAPA DE ACO GALVANIZADO 3/16", COM 1 ESTRIBO E 1 ISOLADOR</t>
  </si>
  <si>
    <t>18.18</t>
  </si>
  <si>
    <t>98306</t>
  </si>
  <si>
    <t>BLOCO DE ENGATE RÁPIDO PARA BASTIDOR TIPO M10 - FORNECIMENTO E INSTALAÇÃO. AF_08/2025</t>
  </si>
  <si>
    <t>18.19</t>
  </si>
  <si>
    <t>FNDE 359</t>
  </si>
  <si>
    <t>CABO DE COBRE NU 6 MM2 MEIO-DURO</t>
  </si>
  <si>
    <t>18.20</t>
  </si>
  <si>
    <t>FNDE 360</t>
  </si>
  <si>
    <t>CAIXA DE INSPECAO PARA ATERRAMENTO OU OUTRO USO, EM PVC, DN = 250 X 250 MM</t>
  </si>
  <si>
    <t>18.21</t>
  </si>
  <si>
    <t>FNDE 362</t>
  </si>
  <si>
    <t>CHUMBADOR DE ACO TIPO PARABOLT, * 5/8" X 200* MM, COM PORCA E ARRUELA</t>
  </si>
  <si>
    <t>18.22</t>
  </si>
  <si>
    <t>FNDE 361</t>
  </si>
  <si>
    <t>CONECTOR DE ALUMINIO TIPO PRENSA CABO, BITOLA 3/8", PARA CABOS DE DIAMETRO DE 9 A 10 MM</t>
  </si>
  <si>
    <t>18.23</t>
  </si>
  <si>
    <t>96986</t>
  </si>
  <si>
    <t>HASTE DE ATERRAMENTO, DIÂMETRO 3/4", COM 3 METROS - FORNECIMENTO E INSTALAÇÃO. AF_08/2023</t>
  </si>
  <si>
    <t>18.24</t>
  </si>
  <si>
    <t>101548</t>
  </si>
  <si>
    <t>ISOLADOR, TIPO ROLDANA, PARA BAIXA TENSÃO - FORNECIMENTO E INSTALAÇÃO. AF_12/2025</t>
  </si>
  <si>
    <t>18.25</t>
  </si>
  <si>
    <t>FNDE 364</t>
  </si>
  <si>
    <t>PARAFUSO DE LATAO COM ROSCA SOBERBA, CABECA CHATA E FENDA SIMPLES, DIAMETRO 3,2 MM, COMPRIMENTO 16 MM</t>
  </si>
  <si>
    <t>18.26</t>
  </si>
  <si>
    <t>FNDE 363</t>
  </si>
  <si>
    <t>CONECTOR DE ALUMINIO TIPO PRENSA CABO, BITOLA 1", PARA CABOS DE DIAMETRO DE 22,5 A 25 MM</t>
  </si>
  <si>
    <t>18.27</t>
  </si>
  <si>
    <t>92988</t>
  </si>
  <si>
    <t>CABO DE COBRE FLEXÍVEL ISOLADO, 50 MM², ANTI-CHAMA 0,6/1,0 KV, PARA REDE ENTERRADA DE DISTRIBUIÇÃO DE ENERGIA ELÉTRICA - FORNECIMENTO E INSTALAÇÃO. AF_12/2021</t>
  </si>
  <si>
    <t>18.28</t>
  </si>
  <si>
    <t>92986</t>
  </si>
  <si>
    <t>CABO DE COBRE FLEXÍVEL ISOLADO, 35 MM², ANTI-CHAMA 0,6/1,0 KV, PARA REDE ENTERRADA DE DISTRIBUIÇÃO DE ENERGIA ELÉTRICA - FORNECIMENTO E INSTALAÇÃO. AF_12/2021</t>
  </si>
  <si>
    <t>18.29</t>
  </si>
  <si>
    <t>92984</t>
  </si>
  <si>
    <t>CABO DE COBRE FLEXÍVEL ISOLADO, 25 MM², ANTI-CHAMA 0,6/1,0 KV, PARA REDE ENTERRADA DE DISTRIBUIÇÃO DE ENERGIA ELÉTRICA - FORNECIMENTO E INSTALAÇÃO. AF_12/2021</t>
  </si>
  <si>
    <t>18.30</t>
  </si>
  <si>
    <t>91933</t>
  </si>
  <si>
    <t>CABO DE COBRE FLEXÍVEL ISOLADO, 10 MM², ANTI-CHAMA 0,6/1,0 KV, PARA CIRCUITOS TERMINAIS - FORNECIMENTO E INSTALAÇÃO. AF_03/2023</t>
  </si>
  <si>
    <t>18.31</t>
  </si>
  <si>
    <t>18.32</t>
  </si>
  <si>
    <t>91932</t>
  </si>
  <si>
    <t>CABO DE COBRE FLEXÍVEL ISOLADO, 10 MM², ANTI-CHAMA 450/750 V, PARA CIRCUITOS TERMINAIS - FORNECIMENTO E INSTALAÇÃO. AF_03/2023</t>
  </si>
  <si>
    <t>18.33</t>
  </si>
  <si>
    <t>18.34</t>
  </si>
  <si>
    <t>91928</t>
  </si>
  <si>
    <t>CABO DE COBRE FLEXÍVEL ISOLADO, 4 MM², ANTI-CHAMA 450/750 V, PARA CIRCUITOS TERMINAIS - FORNECIMENTO E INSTALAÇÃO. AF_03/2023</t>
  </si>
  <si>
    <t>18.35</t>
  </si>
  <si>
    <t>91930</t>
  </si>
  <si>
    <t>CABO DE COBRE FLEXÍVEL ISOLADO, 6 MM², ANTI-CHAMA 450/750 V, PARA CIRCUITOS TERMINAIS - FORNECIMENTO E INSTALAÇÃO. AF_03/2023</t>
  </si>
  <si>
    <t>18.36</t>
  </si>
  <si>
    <t>91934</t>
  </si>
  <si>
    <t>CABO DE COBRE FLEXÍVEL ISOLADO, 16 MM², ANTI-CHAMA 450/750 V, PARA CIRCUITOS TERMINAIS - FORNECIMENTO E INSTALAÇÃO. AF_03/2023</t>
  </si>
  <si>
    <t>18.37</t>
  </si>
  <si>
    <t>97891</t>
  </si>
  <si>
    <t>CAIXA ENTERRADA ELÉTRICA RETANGULAR, EM ALVENARIA COM BLOCOS DE CONCRETO, FUNDO COM BRITA, DIMENSÕES INTERNAS: 0,4X0,4X0,4 M. AF_12/2020</t>
  </si>
  <si>
    <t>18.38</t>
  </si>
  <si>
    <t>FNDE 307</t>
  </si>
  <si>
    <t>CAIXA DE PASSAGEM SOBREPOR AÇO PINTADA 10 X 10 X 8 CM</t>
  </si>
  <si>
    <t>18.39</t>
  </si>
  <si>
    <t>91955</t>
  </si>
  <si>
    <t>INTERRUPTOR PARALELO (1 MÓDULO), 10A/250V, INCLUINDO SUPORTE E PLACA - FORNECIMENTO E INSTALAÇÃO. AF_03/2023</t>
  </si>
  <si>
    <t>18.40</t>
  </si>
  <si>
    <t>91953</t>
  </si>
  <si>
    <t>INTERRUPTOR SIMPLES (1 MÓDULO), 10A/250V, INCLUINDO SUPORTE E PLACA - FORNECIMENTO E INSTALAÇÃO. AF_03/2023</t>
  </si>
  <si>
    <t>18.41</t>
  </si>
  <si>
    <t>91959</t>
  </si>
  <si>
    <t>INTERRUPTOR SIMPLES (2 MÓDULOS), 10A/250V, INCLUINDO SUPORTE E PLACA - FORNECIMENTO E INSTALAÇÃO. AF_03/2023</t>
  </si>
  <si>
    <t>18.42</t>
  </si>
  <si>
    <t>91967</t>
  </si>
  <si>
    <t>INTERRUPTOR SIMPLES (3 MÓDULOS), 10A/250V, INCLUINDO SUPORTE E PLACA - FORNECIMENTO E INSTALAÇÃO. AF_03/2023</t>
  </si>
  <si>
    <t>18.43</t>
  </si>
  <si>
    <t>91957</t>
  </si>
  <si>
    <t>INTERRUPTOR SIMPLES (1 MÓDULO) COM INTERRUPTOR PARALELO (1 MÓDULO), 10A/250V, INCLUINDO SUPORTE E PLACA - FORNECIMENTO E INSTALAÇÃO. AF_03/2023</t>
  </si>
  <si>
    <t>18.44</t>
  </si>
  <si>
    <t>91996</t>
  </si>
  <si>
    <t>TOMADA MÉDIA DE EMBUTIR (1 MÓDULO), 2P+T 10 A, INCLUINDO SUPORTE E PLACA - FORNECIMENTO E INSTALAÇÃO. AF_03/2023</t>
  </si>
  <si>
    <t>18.45</t>
  </si>
  <si>
    <t>91997</t>
  </si>
  <si>
    <t>TOMADA MÉDIA DE EMBUTIR (1 MÓDULO), 2P+T 20 A, INCLUINDO SUPORTE E PLACA - FORNECIMENTO E INSTALAÇÃO. AF_03/2023</t>
  </si>
  <si>
    <t>18.46</t>
  </si>
  <si>
    <t>91965</t>
  </si>
  <si>
    <t>INTERRUPTOR SIMPLES (2 MÓDULOS) COM INTERRUPTOR PARALELO (1 MÓDULO), 10A/250V, INCLUINDO SUPORTE E PLACA - FORNECIMENTO E INSTALAÇÃO. AF_03/2023</t>
  </si>
  <si>
    <t>18.47</t>
  </si>
  <si>
    <t>91945</t>
  </si>
  <si>
    <t>SUPORTE PARAFUSADO COM PLACA DE ENCAIXE 4" X 2" ALTO (2,00 M DO PISO) PARA PONTO ELÉTRICO - FORNECIMENTO E INSTALAÇÃO. AF_03/2023</t>
  </si>
  <si>
    <t>18.48</t>
  </si>
  <si>
    <t>92023</t>
  </si>
  <si>
    <t>INTERRUPTOR SIMPLES (1 MÓDULO) COM 1 TOMADA DE EMBUTIR 2P+T 10 A, INCLUINDO SUPORTE E PLACA - FORNECIMENTO E INSTALAÇÃO. AF_03/2023</t>
  </si>
  <si>
    <t>18.49</t>
  </si>
  <si>
    <t>92004</t>
  </si>
  <si>
    <t>TOMADA MÉDIA DE EMBUTIR (2 MÓDULOS), 2P+T 10 A, INCLUINDO SUPORTE E PLACA - FORNECIMENTO E INSTALAÇÃO. AF_03/2023</t>
  </si>
  <si>
    <t>18.50</t>
  </si>
  <si>
    <t>93654</t>
  </si>
  <si>
    <t>DISJUNTOR MONOPOLAR TIPO DIN, CORRENTE NOMINAL DE 16A - FORNECIMENTO E INSTALAÇÃO. AF_07/2025</t>
  </si>
  <si>
    <t>18.51</t>
  </si>
  <si>
    <t>93658</t>
  </si>
  <si>
    <t>DISJUNTOR MONOPOLAR TIPO DIN, CORRENTE NOMINAL DE 40A - FORNECIMENTO E INSTALAÇÃO. AF_07/2025</t>
  </si>
  <si>
    <t>18.52</t>
  </si>
  <si>
    <t>93657</t>
  </si>
  <si>
    <t>DISJUNTOR MONOPOLAR TIPO DIN, CORRENTE NOMINAL DE 32A - FORNECIMENTO E INSTALAÇÃO. AF_07/2025</t>
  </si>
  <si>
    <t>18.53</t>
  </si>
  <si>
    <t>101895</t>
  </si>
  <si>
    <t>DISJUNTOR TERMOMAGNÉTICO TRIPOLAR, CORRENTE NOMINAL DE 125A - FORNECIMENTO E INSTALAÇÃO. AF_07/2025</t>
  </si>
  <si>
    <t>18.54</t>
  </si>
  <si>
    <t>93668</t>
  </si>
  <si>
    <t>DISJUNTOR TRIPOLAR TIPO DIN, CORRENTE NOMINAL DE 16A - FORNECIMENTO E INSTALAÇÃO. AF_07/2025</t>
  </si>
  <si>
    <t>18.55</t>
  </si>
  <si>
    <t>93672</t>
  </si>
  <si>
    <t>DISJUNTOR TRIPOLAR TIPO DIN, CORRENTE NOMINAL DE 40A - FORNECIMENTO E INSTALAÇÃO. AF_07/2025</t>
  </si>
  <si>
    <t>18.56</t>
  </si>
  <si>
    <t>93673</t>
  </si>
  <si>
    <t>DISJUNTOR TRIPOLAR TIPO DIN, CORRENTE NOMINAL DE 50A - FORNECIMENTO E INSTALAÇÃO. AF_07/2025</t>
  </si>
  <si>
    <t>18.57</t>
  </si>
  <si>
    <t>FNDE 87</t>
  </si>
  <si>
    <t>DISJUNTOR BIPOLAR TIPO DR, CORRENTE NOMINAL DE 40A - 30mA</t>
  </si>
  <si>
    <t>18.58</t>
  </si>
  <si>
    <t>93676</t>
  </si>
  <si>
    <t>DISJUNTOR TETRAPOLAR TIPO DR, CORRENTE NOMINAL DE 25A - FORNECIMENTO E INSTALAÇÃO. AF_07/2025</t>
  </si>
  <si>
    <t>18.59</t>
  </si>
  <si>
    <t>FNDE 84</t>
  </si>
  <si>
    <t>DISJUNTOR TETRAPOLAR TIPO DR, CORRENTE NOMINAL DE 63A - 30mA</t>
  </si>
  <si>
    <t>18.60</t>
  </si>
  <si>
    <t>97313</t>
  </si>
  <si>
    <t>TÊ HORIZONTAL 90º, PARA ELETROCALHA, LISA OU PERFURADA EM AÇO GALVANIZADO, LARGURA DE 50MM E ALTURA DE 50MM - FORNECIMENTO E INSTALAÇÃO. AF_04/2023</t>
  </si>
  <si>
    <t>18.61</t>
  </si>
  <si>
    <t>FNDE 598</t>
  </si>
  <si>
    <t>SAÍDA HORIZONTAL ELETROCALHA LISA OU PERFURADA EM AÇO GALVANIZADO PARA ELETRODUTO, LARGURA 50MM E ALTURA 50MM - FORNECIMENTO E INSTALAÇÃO.</t>
  </si>
  <si>
    <t>18.62</t>
  </si>
  <si>
    <t>97275</t>
  </si>
  <si>
    <t>COTOVELO HORIZONTAL 90º PARA ELETROCALHA, LISA OU PERFURADA EM AÇO GALVANIZADO, LARGURA DE 50MM E ALTURA DE 50MM - FORNECIMENTO E INSTALAÇÃO. AF_04/2023</t>
  </si>
  <si>
    <t>18.63</t>
  </si>
  <si>
    <t>97236</t>
  </si>
  <si>
    <t>ELETROCALHA LISA OU PERFURADA EM AÇO GALVANIZADO, LARGURA 50MM E ALTURA 50MM, INCLUSIVE EMENDA E FIXAÇÃO - FORNECIMENTO E INSTALAÇÃO. AF_04/2023</t>
  </si>
  <si>
    <t>18.64</t>
  </si>
  <si>
    <t>FNDE 70</t>
  </si>
  <si>
    <t>TERMINAL A COMPRESSÃO</t>
  </si>
  <si>
    <t>18.65</t>
  </si>
  <si>
    <t>91837</t>
  </si>
  <si>
    <t>ELETRODUTO FLEXÍVEL CORRUGADO REFORÇADO, PVC, DN 32 MM (1"), PARA CIRCUITOS TERMINAIS, INSTALADO EM FORRO - FORNECIMENTO E INSTALAÇÃO. AF_03/2023</t>
  </si>
  <si>
    <t>18.66</t>
  </si>
  <si>
    <t>91855</t>
  </si>
  <si>
    <t>ELETRODUTO FLEXÍVEL CORRUGADO REFORÇADO, PVC, DN 25 MM (3/4"), PARA CIRCUITOS TERMINAIS, INSTALADO EM PAREDE - FORNECIMENTO E INSTALAÇÃO. AF_03/2023</t>
  </si>
  <si>
    <t>18.67</t>
  </si>
  <si>
    <t>97669</t>
  </si>
  <si>
    <t>ELETRODUTO FLEXÍVEL CORRUGADO, PEAD, DN 90 (3"), PARA REDE ENTERRADA DE DISTRIBUIÇÃO DE ENERGIA ELÉTRICA - FORNECIMENTO E INSTALAÇÃO. AF_12/2021</t>
  </si>
  <si>
    <t>18.68</t>
  </si>
  <si>
    <t>91870</t>
  </si>
  <si>
    <t>ELETRODUTO RÍGIDO ROSCÁVEL, PVC, DN 20 MM (1/2"), PARA CIRCUITOS TERMINAIS, INSTALADO EM PAREDE - FORNECIMENTO E INSTALAÇÃO. AF_03/2023</t>
  </si>
  <si>
    <t>18.69</t>
  </si>
  <si>
    <t>ELETRODUTO RÍGIDO ROSCÁVEL, PVC, DN 20 MM (1 1/2"), PARA CIRCUITOS TERMINAIS, INSTALADO EM PAREDE - FORNECIMENTO E INSTALAÇÃO. AF_03/2023</t>
  </si>
  <si>
    <t>18.70</t>
  </si>
  <si>
    <t>104409</t>
  </si>
  <si>
    <t>ELETRODUTO RIGIDO, EM ACO ZINCADO OU GALVANIZADO, TIPO LEVE, DN=3/4”, APARENTE - FORNECIMENTO E INSTALAÇÃO. AF_10/2022</t>
  </si>
  <si>
    <t>18.71</t>
  </si>
  <si>
    <t>97670</t>
  </si>
  <si>
    <t>ELETRODUTO FLEXÍVEL CORRUGADO, PEAD, DN 100 (4"), PARA REDE ENTERRADA DE DISTRIBUIÇÃO DE ENERGIA ELÉTRICA - FORNECIMENTO E INSTALAÇÃO. AF_12/2021</t>
  </si>
  <si>
    <t>18.72</t>
  </si>
  <si>
    <t>97668</t>
  </si>
  <si>
    <t>ELETRODUTO FLEXÍVEL CORRUGADO, PEAD, DN 63 (2"), PARA REDE ENTERRADA DE DISTRIBUIÇÃO DE ENERGIA ELÉTRICA - FORNECIMENTO E INSTALAÇÃO. AF_12/2021</t>
  </si>
  <si>
    <t>18.73</t>
  </si>
  <si>
    <t>FNDE 373</t>
  </si>
  <si>
    <t>GANCHO PARA PERFILADO 44X32 MM</t>
  </si>
  <si>
    <t>18.74</t>
  </si>
  <si>
    <t>FNDE 32</t>
  </si>
  <si>
    <t>PERFILADO PERFURADO 38X38 MM</t>
  </si>
  <si>
    <t>18.75</t>
  </si>
  <si>
    <t>FNDE 96</t>
  </si>
  <si>
    <t>LUMINÁRIA DE EMBUTIR, COM LÂMPADA LED DE 18 W</t>
  </si>
  <si>
    <t>18.76</t>
  </si>
  <si>
    <t>FNDE 97</t>
  </si>
  <si>
    <t>LUMINÁRIA DE EMBUTIR, COM LÂMPADA LED DE 31 W</t>
  </si>
  <si>
    <t>18.77</t>
  </si>
  <si>
    <t>FNDE 308</t>
  </si>
  <si>
    <t>LUMINÁRIA DE EMBUTIR, COM LÂMPADA LED DE 39 W</t>
  </si>
  <si>
    <t>18.78</t>
  </si>
  <si>
    <t>100903</t>
  </si>
  <si>
    <t>LÂMPADA TUBULAR LED DE 18/20 W, COM SOQUETE, BASE G13 - FORNECIMENTO E INSTALAÇÃO. AF_09/2024_PS</t>
  </si>
  <si>
    <t>18.79</t>
  </si>
  <si>
    <t>FNDE 98</t>
  </si>
  <si>
    <t>REFLETOR EM ALUMÍNIO, DE SUPORTE E ALÇA, COM LÂMPADA LED DE 200 W</t>
  </si>
  <si>
    <t>18.80</t>
  </si>
  <si>
    <t>FNDE 99</t>
  </si>
  <si>
    <t>LUMINÁRIA TIPO SPOT BALIZADOR LED 12W</t>
  </si>
  <si>
    <t>18.81</t>
  </si>
  <si>
    <t>97607</t>
  </si>
  <si>
    <t>LUMINÁRIA ARANDELA TIPO TARTARUGA, DE SOBREPOR, COM 1 LÂMPADA LED DE 6 W, SEM REATOR - FORNECIMENTO E INSTALAÇÃO. AF_09/2024</t>
  </si>
  <si>
    <t>18.82</t>
  </si>
  <si>
    <t>FNDE 978</t>
  </si>
  <si>
    <t>LUMINÁRIA LED DE SOBREPOR BLINDADA HERMÉTICA IP65 18W, COM 2XT8 - 65CM - FORNECIMENTO E INSTALAÇÃO.</t>
  </si>
  <si>
    <t>18.83</t>
  </si>
  <si>
    <t>FNDE 979</t>
  </si>
  <si>
    <t>LUMINÁRIA LED DE SOBREPOR BLINDADA HERMÉTICA IP65 36W, COM 2XT8 - 125CM - FORNECIMENTO E INSTALAÇÃO.</t>
  </si>
  <si>
    <t>18.84</t>
  </si>
  <si>
    <t>97362</t>
  </si>
  <si>
    <t>QUADRO DE MEDIÇÃO GERAL DE ENERGIA PARA BARRAMENTO BLINDADO COM 4 MEDIDORES - FORNECIMENTO E INSTALAÇÃO. AF_07/2025</t>
  </si>
  <si>
    <t>18.85</t>
  </si>
  <si>
    <t>FNDE 982</t>
  </si>
  <si>
    <t>QUADRO DE DISTRIBUIÇÃO DE ENERGIA EM CHAPA DE AÇO GALVANIZADO, DE EMBUTIR, COM BARRAMENTO TRIFÁSICO, PARA 36 DISJUNTORES DIN 100A - FORNECIMENTO E INSTALAÇÃO.</t>
  </si>
  <si>
    <t>18.86</t>
  </si>
  <si>
    <t>FNDE 383</t>
  </si>
  <si>
    <t>QUADRO DE DISTRIBUIÇÃO DE ENERGIA EM CHAPA DE AÇO GALVANIZADO, DE EMBUTIR, COM BARRAMENTO TRIFÁSICO, PARA 46 DISJUNTORES DIN 100A - FORNECIMENTO E INSTALAÇÃO.</t>
  </si>
  <si>
    <t>18.87</t>
  </si>
  <si>
    <t>101875</t>
  </si>
  <si>
    <t>QUADRO DE DISTRIBUIÇÃO DE ENERGIA EM CHAPA DE AÇO GALVANIZADO, DE EMBUTIR, COM BARRAMENTO TRIFÁSICO, PARA 12 DISJUNTORES DIN 100A - FORNECIMENTO E INSTALAÇÃO. AF_07/2025</t>
  </si>
  <si>
    <t>18.88</t>
  </si>
  <si>
    <t>FNDE 984</t>
  </si>
  <si>
    <t>QUADRO DE DISTRIBUIÇÃO DE ENERGIA EM CHAPA DE AÇO GALVANIZADO, DE EMBUTIR, COM BARRAMENTO TRIFÁSICO, PARA 54 DISJUNTORES DIN 100A - FORNECIMENTO E INSTALAÇÃO.</t>
  </si>
  <si>
    <t>19</t>
  </si>
  <si>
    <t>INSTALAÇÕES DE CABEAMENTO ESTRUTURADO</t>
  </si>
  <si>
    <t>19.1</t>
  </si>
  <si>
    <t>FNDE 384</t>
  </si>
  <si>
    <t>SWITCH TIPO 48 PORTAS</t>
  </si>
  <si>
    <t>19.2</t>
  </si>
  <si>
    <t>FNDE 385</t>
  </si>
  <si>
    <t>PATCH CORD, CATEGORIA 6 UTP, 4 PARES.</t>
  </si>
  <si>
    <t>19.3</t>
  </si>
  <si>
    <t>98302</t>
  </si>
  <si>
    <t>PATCH PANEL 24 PORTAS, CATEGORIA 6 - FORNECIMENTO E INSTALAÇÃO. AF_08/2025</t>
  </si>
  <si>
    <t>19.4</t>
  </si>
  <si>
    <t>FNDE 388</t>
  </si>
  <si>
    <t>RÉGUA DE TOMADAS ELÉTRICAS, COM 10 TOMADAS, PADRÃO RACK 19"</t>
  </si>
  <si>
    <t>19.5</t>
  </si>
  <si>
    <t>FNDE 123</t>
  </si>
  <si>
    <t>GUIA DE CABOS FECHADO 1U</t>
  </si>
  <si>
    <t>19.6</t>
  </si>
  <si>
    <t>FNDE 122</t>
  </si>
  <si>
    <t>BANDEJA MÓVEL, PADRÃO 19"</t>
  </si>
  <si>
    <t>19.7</t>
  </si>
  <si>
    <t>100555</t>
  </si>
  <si>
    <t>RACK ABERTO EM COLUNA 44U PARA SERVIDOR - FORNECIMENTO E INSTALAÇÃO. AF_08/2025</t>
  </si>
  <si>
    <t>19.8</t>
  </si>
  <si>
    <t>FNDE 125</t>
  </si>
  <si>
    <t>GUIA VERTICAL 200 MM PARA CABOS</t>
  </si>
  <si>
    <t>19.9</t>
  </si>
  <si>
    <t>91941</t>
  </si>
  <si>
    <t>CAIXA RETANGULAR 4" X 2" BAIXA (0,30 M DO PISO), PVC, INSTALADA EM PAREDE - FORNECIMENTO E INSTALAÇÃO. AF_03/2023</t>
  </si>
  <si>
    <t>19.10</t>
  </si>
  <si>
    <t>19.11</t>
  </si>
  <si>
    <t>19.12</t>
  </si>
  <si>
    <t>FNDE 389</t>
  </si>
  <si>
    <t>PARAFUSO EM ACO GALVANIZADO, TIPO MAQUINA, SEXTAVADO, SEM PORCA</t>
  </si>
  <si>
    <t>19.13</t>
  </si>
  <si>
    <t>19.14</t>
  </si>
  <si>
    <t>92884</t>
  </si>
  <si>
    <t>ARMAÇÃO UTILIZANDO AÇO CA-25 DE 10,0 MM - MONTAGEM. AF_06/2022</t>
  </si>
  <si>
    <t>19.15</t>
  </si>
  <si>
    <t>98463</t>
  </si>
  <si>
    <t>SUPORTE ISOLADOR PARA FIXAÇÃO DA CORDOALHA DE COBRE EM ALVENARIA OU CONCRETO - FORNECIMENTO E INSTALAÇÃO. AF_08/2023</t>
  </si>
  <si>
    <t>19.16</t>
  </si>
  <si>
    <t>FNDE 31</t>
  </si>
  <si>
    <t>CAIXA DE CONCRETO ARMADO PRE-MOLDADO, COM FUNDO E TAMPA, DIMENSOES DE 0,30 X 0,30 X 0,30 M</t>
  </si>
  <si>
    <t>19.17</t>
  </si>
  <si>
    <t>98307</t>
  </si>
  <si>
    <t>TOMADA DE REDE RJ45 - FORNECIMENTO E INSTALAÇÃO. AF_08/2025</t>
  </si>
  <si>
    <t>19.18</t>
  </si>
  <si>
    <t>FNDE 375</t>
  </si>
  <si>
    <t>TOMADA PARA ANTENA DE TV, CABO COAXIAL DE 9 MM FORNECIMENTO E INSTALAÇÃO</t>
  </si>
  <si>
    <t>19.19</t>
  </si>
  <si>
    <t>FNDE 25</t>
  </si>
  <si>
    <t>ELETROCALHA LISA OU PERFURADA EM AÇO GALVANIZADO, LARGURA 50MM E ALTURA 50MM, INCLUSIVE TAMPA, EMENDA E FIXAÇÃO - FORNECIMENTO E INSTALAÇÃO.</t>
  </si>
  <si>
    <t>19.20</t>
  </si>
  <si>
    <t>19.21</t>
  </si>
  <si>
    <t>93009</t>
  </si>
  <si>
    <t>ELETRODUTO RÍGIDO ROSCÁVEL, PVC, DN 60 MM (2"), PARA REDE ENTERRADA DE DISTRIBUIÇÃO DE ENERGIA ELÉTRICA - FORNECIMENTO E INSTALAÇÃO. AF_12/2021</t>
  </si>
  <si>
    <t>19.22</t>
  </si>
  <si>
    <t>FNDE 367</t>
  </si>
  <si>
    <t>TÊ HORIZONTAL 90º, PARA ELETROCALHA, LISA OU PERFURADA EM AÇO GALVANIZADO, LARGURA DE 50MM E ALTURA DE 50MM - FORNECIMENTO E INSTALAÇÃO.</t>
  </si>
  <si>
    <t>19.23</t>
  </si>
  <si>
    <t>19.24</t>
  </si>
  <si>
    <t>FNDE 608</t>
  </si>
  <si>
    <t>CURVA HORIZONTAL 90 ELETROCALHA LISA OU PERFURADA EM AÇO GALVANIZADO PARA ELETRODUTO, LARGURA 50MM E ALTURA 50MM - FORNECIMENTO E INSTALAÇÃO.</t>
  </si>
  <si>
    <t>19.25</t>
  </si>
  <si>
    <t>19.26</t>
  </si>
  <si>
    <t>96562</t>
  </si>
  <si>
    <t>SUPORTE PARA ELETROCALHA LISA OU PERFURADA EM AÇO GALVANIZADO, LARGURA 400 MM, EM PERFILADO COM COMPRIMENTO DE 45 CM FIXADO EM LAJE, POR METRO DE ELETROCALHA FIXADA. AF_09/2023</t>
  </si>
  <si>
    <t>19.27</t>
  </si>
  <si>
    <t>98297</t>
  </si>
  <si>
    <t>CABO ELETRÔNICO CATEGORIA 6, INSTALADO EM EDIFICAÇÃO INSTITUCIONAL - FORNECIMENTO E INSTALAÇÃO. AF_08/2025</t>
  </si>
  <si>
    <t>20</t>
  </si>
  <si>
    <t>INSTALAÇÕES DO SISTEMA DE PROTEÇÃO CONTRA DESCARGAS ATMOSFÉRICAS (SPDA)</t>
  </si>
  <si>
    <t>20.1</t>
  </si>
  <si>
    <t>98111</t>
  </si>
  <si>
    <t>CAIXA DE INSPEÇÃO PARA ATERRAMENTO, CIRCULAR, EM POLIETILENO, DIÂMETRO INTERNO = 0,3 M. AF_12/2020</t>
  </si>
  <si>
    <t>20.2</t>
  </si>
  <si>
    <t>96985</t>
  </si>
  <si>
    <t>HASTE DE ATERRAMENTO, DIÂMETRO 5/8", COM 3 METROS - FORNECIMENTO E INSTALAÇÃO. AF_08/2023</t>
  </si>
  <si>
    <t>20.3</t>
  </si>
  <si>
    <t>C3477</t>
  </si>
  <si>
    <t>TERMINAL AÉREO EM BARRA CHATA EM ALUMÍNIO 300 MM</t>
  </si>
  <si>
    <t>20.4</t>
  </si>
  <si>
    <t>96977</t>
  </si>
  <si>
    <t>CORDOALHA DE COBRE NU 50 MM², ENTERRADA - FORNECIMENTO E INSTALAÇÃO. AF_08/2023</t>
  </si>
  <si>
    <t>20.5</t>
  </si>
  <si>
    <t>C3478</t>
  </si>
  <si>
    <t>BARRA RE-BAR REDONDA AÇO GALVANIZADO 80MM2</t>
  </si>
  <si>
    <t>20.6</t>
  </si>
  <si>
    <t>20.7</t>
  </si>
  <si>
    <t>20.8</t>
  </si>
  <si>
    <t>20.9</t>
  </si>
  <si>
    <t>20.10</t>
  </si>
  <si>
    <t>20.11</t>
  </si>
  <si>
    <t>20.12</t>
  </si>
  <si>
    <t>104753</t>
  </si>
  <si>
    <t>CONECTOR SPLIT-BOLT, PARA SPDA, PARA CABOS ATÉ 50 MM2 - FORNECIMENTO E INSTALAÇÃO. AF_08/2023</t>
  </si>
  <si>
    <t>20.13</t>
  </si>
  <si>
    <t>C3479</t>
  </si>
  <si>
    <t>CURVA HORIZONTAL EM ALUMÍNIO 7/8" X 1/8"</t>
  </si>
  <si>
    <t>21</t>
  </si>
  <si>
    <t>INSTALAÇÕES DE CLIMATIZAÇÃO</t>
  </si>
  <si>
    <t>21.1</t>
  </si>
  <si>
    <t>91927</t>
  </si>
  <si>
    <t>CABO DE COBRE FLEXÍVEL ISOLADO, 2,5 MM², ANTI-CHAMA 0,6/1,0 KV, PARA CIRCUITOS TERMINAIS - FORNECIMENTO E INSTALAÇÃO. AF_03/2023</t>
  </si>
  <si>
    <t>21.2</t>
  </si>
  <si>
    <t>91929</t>
  </si>
  <si>
    <t>CABO DE COBRE FLEXÍVEL ISOLADO, 4 MM², ANTI-CHAMA 0,6/1,0 KV, PARA CIRCUITOS TERMINAIS - FORNECIMENTO E INSTALAÇÃO. AF_03/2023</t>
  </si>
  <si>
    <t>21.3</t>
  </si>
  <si>
    <t>97327</t>
  </si>
  <si>
    <t>TUBO EM COBRE FLEXÍVEL, DN 1/4", COM ISOLAMENTO, INSTALADO EM RAMAL DE ALIMENTAÇÃO DE AR-CONDICIONADO - FORNECIMENTO E INSTALAÇÃO. AF_07/2025</t>
  </si>
  <si>
    <t>21.4</t>
  </si>
  <si>
    <t>97328</t>
  </si>
  <si>
    <t>TUBO EM COBRE FLEXÍVEL, DN 3/8", COM ISOLAMENTO, INSTALADO EM RAMAL DE ALIMENTAÇÃO DE AR-CONDICIONADO - FORNECIMENTO E INSTALAÇÃO. AF_07/2025</t>
  </si>
  <si>
    <t>21.5</t>
  </si>
  <si>
    <t>103292</t>
  </si>
  <si>
    <t>TUBO EM COBRE FLEXÍVEL, DN 5/8", COM ISOLAMENTO, INSTALADO EM FORRO, PARA RAMAL DE ALIMENTAÇÃO DE AR CONDICIONADO, INCLUSO FIXADOR. AF_11/2021</t>
  </si>
  <si>
    <t>21.6</t>
  </si>
  <si>
    <t>21.7</t>
  </si>
  <si>
    <t>21.8</t>
  </si>
  <si>
    <t>21.9</t>
  </si>
  <si>
    <t>21.10</t>
  </si>
  <si>
    <t>21.11</t>
  </si>
  <si>
    <t>21.12</t>
  </si>
  <si>
    <t>FNDE 416</t>
  </si>
  <si>
    <t>JUNÇÃO SIMPLES, PVC, SERIE R, ÁGUA PLUVIAL, DN 100 X 50 MM, JUNTA ELÁSTICA, FORNECIDO E INSTALADO EM CONDUTORES VERTICAIS DE ÁGUAS PLUVIAIS</t>
  </si>
  <si>
    <t>21.13</t>
  </si>
  <si>
    <t>21.14</t>
  </si>
  <si>
    <t>FNDE 597</t>
  </si>
  <si>
    <t>JUNÇÃO SIMPLES, PVC, SERIE R, ÁGUA PLUVIAL, DN 200 x 100 MM, JUNTA ELÁSTICA, FORNECIDO E INSTALADO EM RAMAL DE ENCAMINHAMENTO</t>
  </si>
  <si>
    <t>21.15</t>
  </si>
  <si>
    <t>FNDE 473</t>
  </si>
  <si>
    <t>REDUÇÃO EXCÊNTRICA, PVC, SERIE R, ÁGUA PLUVIAL, DN 100 X 50 MM, JUNTA ELÁSTICA, FORNECIDO E INSTALADO EM CONDUTORES VERTICAIS DE ÁGUAS PLUVIAIS</t>
  </si>
  <si>
    <t>21.16</t>
  </si>
  <si>
    <t>89683</t>
  </si>
  <si>
    <t>TÊ DE INSPEÇÃO, PVC, SERIE R, ÁGUA PLUVIAL, DN 150 X 100 MM, JUNTA ELÁSTICA, FORNECIDO E INSTALADO EM CONDUTORES VERTICAIS DE ÁGUAS PLUVIAIS. AF_06/2022</t>
  </si>
  <si>
    <t>21.17</t>
  </si>
  <si>
    <t>FNDE 820</t>
  </si>
  <si>
    <t>AR CONDICIONADO SPLIT INVERTER, HI-WALL (PAREDE), 30000 BTU/H, CICLO FRIO - FORNECIMENTO E INSTALAÇÃO.</t>
  </si>
  <si>
    <t>21.18</t>
  </si>
  <si>
    <t>103253</t>
  </si>
  <si>
    <t>AR CONDICIONADO SPLIT INVERTER, HI-WALL (PAREDE), 24000 BTU/H, CICLO FRIO - FORNECIMENTO E INSTALAÇÃO. AF_11/2021_PE</t>
  </si>
  <si>
    <t>22</t>
  </si>
  <si>
    <t>INSTALAÇÕES DE EXAUSTÃO MECÂNICA</t>
  </si>
  <si>
    <t>22.1</t>
  </si>
  <si>
    <t>FNDE 619</t>
  </si>
  <si>
    <t>DUTO DE ALONGAMENTO PARA EXAUSTOR</t>
  </si>
  <si>
    <t>22.2</t>
  </si>
  <si>
    <t>FNDE 45</t>
  </si>
  <si>
    <t>COIFA EM AÇO INOX 100CM X 150CM COM VENTILADOR DE TELHADO</t>
  </si>
  <si>
    <t>22.3</t>
  </si>
  <si>
    <t>FNDE 976</t>
  </si>
  <si>
    <t>GRELHA DE RETORNO/EXAUSTÃO, TAMANHO: 0,07 M2 a 0,13 M2</t>
  </si>
  <si>
    <t>23</t>
  </si>
  <si>
    <t>INSTALAÇÕES DE GÁS COMBUSTÍVEL</t>
  </si>
  <si>
    <t>23.1</t>
  </si>
  <si>
    <t>95249</t>
  </si>
  <si>
    <t>VÁLVULA DE ESFERA BRUTA, BRONZE, ROSCÁVEL, 3/4'' - FORNECIMENTO E INSTALAÇÃO. AF_08/2021</t>
  </si>
  <si>
    <t>23.2</t>
  </si>
  <si>
    <t>FNDE 29</t>
  </si>
  <si>
    <t>REGULADOR DE ALTA PRESSÃO GLP</t>
  </si>
  <si>
    <t>23.3</t>
  </si>
  <si>
    <t>103029</t>
  </si>
  <si>
    <t>REGISTRO OU REGULADOR DE GÁS DE COZINHA - FORNECIMENTO E INSTALAÇÃO. AF_08/2021</t>
  </si>
  <si>
    <t>23.4</t>
  </si>
  <si>
    <t>92688</t>
  </si>
  <si>
    <t>TUBO DE AÇO GALVANIZADO COM COSTURA, CLASSE MÉDIA, CONEXÃO ROSQUEADA, DN 20 (3/4"), INSTALADO EM RAMAIS E SUB-RAMAIS DE GÁS - FORNECIMENTO E INSTALAÇÃO. AF_01/2026</t>
  </si>
  <si>
    <t>23.5</t>
  </si>
  <si>
    <t>92705</t>
  </si>
  <si>
    <t>TÊ, EM FERRO GALVANIZADO, CONEXÃO ROSQUEADA, DN 20 (3/4"), INSTALADO EM RAMAIS E SUB-RAMAIS DE GÁS - FORNECIMENTO E INSTALAÇÃO. AF_01/2026</t>
  </si>
  <si>
    <t>23.6</t>
  </si>
  <si>
    <t>FNDE 301</t>
  </si>
  <si>
    <t>CAP OU TAMPAO DE FERRO GALVANIZADO, COM ROSCA BSP, DE 3/4"</t>
  </si>
  <si>
    <t>23.7</t>
  </si>
  <si>
    <t>92695</t>
  </si>
  <si>
    <t>LUVA, EM FERRO GALVANIZADO, CONEXÃO ROSQUEADA, DN 20 (3/4"), INSTALADO EM RAMAIS E SUB-RAMAIS DE GÁS - FORNECIMENTO E INSTALAÇÃO. AF_01/2026</t>
  </si>
  <si>
    <t>23.8</t>
  </si>
  <si>
    <t>FNDE 260</t>
  </si>
  <si>
    <t>MANGUEIRA PARA GAS - GLP</t>
  </si>
  <si>
    <t>23.9</t>
  </si>
  <si>
    <t>97549</t>
  </si>
  <si>
    <t>CURVA 90 GRAUS, EM AÇO, CONEXÃO SOLDADA, DN 20 (3/4"), INSTALADO EM RAMAIS E SUB-RAMAIS DE GÁS - FORNECIMENTO E INSTALAÇÃO. AF_01/2026</t>
  </si>
  <si>
    <t>23.10</t>
  </si>
  <si>
    <t>97547</t>
  </si>
  <si>
    <t>CURVA 90 GRAUS, EM AÇO, CONEXÃO SOLDADA, DN 15 (1/2"), INSTALADO EM RAMAIS E SUB-RAMAIS DE GÁS - FORNECIMENTO E INSTALAÇÃO. AF_01/2026</t>
  </si>
  <si>
    <t>23.11</t>
  </si>
  <si>
    <t>92694</t>
  </si>
  <si>
    <t>NIPLE, EM FERRO GALVANIZADO, CONEXÃO ROSQUEADA, DN 20 (3/4"), INSTALADO EM RAMAIS E SUB-RAMAIS DE GÁS - FORNECIMENTO E INSTALAÇÃO. AF_01/2026</t>
  </si>
  <si>
    <t>23.12</t>
  </si>
  <si>
    <t>92692</t>
  </si>
  <si>
    <t>NIPLE, EM FERRO GALVANIZADO, CONEXÃO ROSQUEADA, DN 15 (1/2"), INSTALADO EM RAMAIS E SUB-RAMAIS DE GÁS - FORNECIMENTO E INSTALAÇÃO. AF_01/2026</t>
  </si>
  <si>
    <t>23.13</t>
  </si>
  <si>
    <t>24</t>
  </si>
  <si>
    <t>SERVIÇOS COMPLEMENTARES</t>
  </si>
  <si>
    <t>24.1</t>
  </si>
  <si>
    <t>FNDE 39</t>
  </si>
  <si>
    <t>CONJUNTO DE MASTRO P/ TRÊS BANDEIRAS E PEDESTAL</t>
  </si>
  <si>
    <t>24.2</t>
  </si>
  <si>
    <t>FNDE 40</t>
  </si>
  <si>
    <t>BANCADA DE GRANITO CINZA ANDORINHA, INCLUSIVE PASSA PRATOS, ESPESSURA 2 CM - FORNECIMENTO E INSTALAÇÃO</t>
  </si>
  <si>
    <t>24.3</t>
  </si>
  <si>
    <t>FNDE 46</t>
  </si>
  <si>
    <t>BANCO DE GRANITO CINZA ANDORINHA, ESPESSURA 2 CM - FORNECIMENTO E INSTALAÇÃO</t>
  </si>
  <si>
    <t>24.4</t>
  </si>
  <si>
    <t>FNDE 47</t>
  </si>
  <si>
    <t>PRATELEIRA DE GRANITO CINZA ANDORINHA, ESPESSURA 2,5 CM - FORNECIMENTO E INSTALAÇÃO</t>
  </si>
  <si>
    <t>24.5</t>
  </si>
  <si>
    <t>FNDE 48</t>
  </si>
  <si>
    <t>ESCANINHOS E PRATELERIAS EM MDF, REVESTIDOS EM LAMINADO MELAMÍNICO</t>
  </si>
  <si>
    <t>24.6</t>
  </si>
  <si>
    <t>101965</t>
  </si>
  <si>
    <t>PEITORIL LINEAR EM GRANITO OU MÁRMORE, L = 15CM, ASSENTADO COM ARGAMASSA 1:6 COM ADITIVO. AF_11/2020</t>
  </si>
  <si>
    <t>24.7</t>
  </si>
  <si>
    <t>FNDE 351</t>
  </si>
  <si>
    <t>PEITORIL EM GRANITO CINZA ANDORINHA, L = 15CM, COMPRIMENTO DE ATÉ 2M, ASSENTADO COM ARGAMASSA 1:6 COM ADITIVO - CHUVEIRO.</t>
  </si>
  <si>
    <t>24.8</t>
  </si>
  <si>
    <t>100861</t>
  </si>
  <si>
    <t>SUPORTE MÃO FRANCESA EM AÇO, ABAS IGUAIS 30 CM, CAPACIDADE MINIMA 60 KG, BRANCO - FORNECIMENTO E INSTALAÇÃO. AF_01/2020</t>
  </si>
  <si>
    <t>24.9</t>
  </si>
  <si>
    <t>99856</t>
  </si>
  <si>
    <t>BARRA DE APOIO EM INOX, DIAMETRO MINIMO 3 CM, EM AÇO INOX</t>
  </si>
  <si>
    <t>24.10</t>
  </si>
  <si>
    <t>FNDE 51</t>
  </si>
  <si>
    <t>BANCO DE CONCRETO SEM ENCOSTO, DIM. 2,50 X 0,60 M</t>
  </si>
  <si>
    <t>25</t>
  </si>
  <si>
    <t>FECHAMENTO - MURO</t>
  </si>
  <si>
    <t>25.1</t>
  </si>
  <si>
    <t>25.2</t>
  </si>
  <si>
    <t>25.3</t>
  </si>
  <si>
    <t>25.4</t>
  </si>
  <si>
    <t>25.5</t>
  </si>
  <si>
    <t>25.6</t>
  </si>
  <si>
    <t>25.7</t>
  </si>
  <si>
    <t>25.8</t>
  </si>
  <si>
    <t>25.9</t>
  </si>
  <si>
    <t>25.10</t>
  </si>
  <si>
    <t>25.11</t>
  </si>
  <si>
    <t>25.12</t>
  </si>
  <si>
    <t>25.13</t>
  </si>
  <si>
    <t>25.14</t>
  </si>
  <si>
    <t>25.15</t>
  </si>
  <si>
    <t>25.16</t>
  </si>
  <si>
    <t>25.17</t>
  </si>
  <si>
    <t>25.18</t>
  </si>
  <si>
    <t>25.19</t>
  </si>
  <si>
    <t>25.20</t>
  </si>
  <si>
    <t>25.21</t>
  </si>
  <si>
    <t>25.22</t>
  </si>
  <si>
    <t>25.23</t>
  </si>
  <si>
    <t>25.24</t>
  </si>
  <si>
    <t>25.25</t>
  </si>
  <si>
    <t>25.26</t>
  </si>
  <si>
    <t>25.27</t>
  </si>
  <si>
    <t>25.28</t>
  </si>
  <si>
    <t>25.29</t>
  </si>
  <si>
    <t>FNDE 176</t>
  </si>
  <si>
    <t>CHAPISCO APLICADO EM ALVENARIAS E ESTRUTURAS DE CONCRETO EXTERNAS, COM COLHER DE PEDREIRO. ARGAMASSA TRAÇO 1:3 COM PREPARO EM BETONEIRA 400L. - EXTERNO</t>
  </si>
  <si>
    <t>25.30</t>
  </si>
  <si>
    <t>FNDE 177</t>
  </si>
  <si>
    <t>CHAPISCO APLICADO EM ALVENARIAS E ESTRUTURAS DE CONCRETO EXTERNAS, COM COLHER DE PEDREIRO. ARGAMASSA TRAÇO 1:3 COM PREPARO EM BETONEIRA 400L. - INTERNO</t>
  </si>
  <si>
    <t>25.31</t>
  </si>
  <si>
    <t>FNDE 178</t>
  </si>
  <si>
    <t>EMBOÇO OU MASSA ÚNICA EM ARGAMASSA TRAÇO 1:2:8, PREPARO MECÂNICO COM BETONEIRA 400 L, APLICADA MANUALMENTE EM PANOS CEGOS - REVESTIMENTO INTERNO (SEM PRESENÇA DE VÃOS), ESPESSURA DE 25 MM</t>
  </si>
  <si>
    <t>25.32</t>
  </si>
  <si>
    <t>FNDE 179</t>
  </si>
  <si>
    <t>EMBOÇO OU MASSA ÚNICA EM ARGAMASSA TRAÇO 1:2:8, PREPARO MECÂNICO COM BETONEIRA 400 L, APLICADA MANUALMENTE EM PANOS CEGOS - REVESTIMENTO EXTERNO (SEM PRESENÇA DE VÃOS), ESPESSURA DE 25 MM</t>
  </si>
  <si>
    <t>25.33</t>
  </si>
  <si>
    <t>25.34</t>
  </si>
  <si>
    <t>FNDE 196</t>
  </si>
  <si>
    <t>PINTURA LÁTEX ACRÍLICA, SOBRE REBOCO LISO, COR CINZA CLARO, APLICAÇÃO MANUAL EM PAREDES, DUAS DEMÃOS</t>
  </si>
  <si>
    <t>25.35</t>
  </si>
  <si>
    <t>FNDE 352</t>
  </si>
  <si>
    <t>PINTURA LÁTEX ACRÍLICA, SOBRE REBOCO LISO, COR CINZA CLARO, APLICAÇÃO MANUAL EM PAREDES, DUAS DEMÃOS - FACE EXTERNA MURO</t>
  </si>
  <si>
    <t>26</t>
  </si>
  <si>
    <t>SERVIÇOS FINAIS</t>
  </si>
  <si>
    <t>26.1</t>
  </si>
  <si>
    <t>FNDE 602</t>
  </si>
  <si>
    <t>LIMPEZA GROSSA DE OBRA</t>
  </si>
  <si>
    <t>26.2</t>
  </si>
  <si>
    <t>FNDE 601</t>
  </si>
  <si>
    <t>LIMPEZA FINA DE OBRA</t>
  </si>
  <si>
    <t>26.3</t>
  </si>
  <si>
    <t>FNDE 560</t>
  </si>
  <si>
    <t>FORNECIMENTO E INSTALAÇÃO DE PLACA DE INAUGURAÇÃO EM AÇO INOX - 500 X 700 MM</t>
  </si>
  <si>
    <t>Total:</t>
  </si>
  <si>
    <t>Valor não utilizado (QCI):</t>
  </si>
  <si>
    <t>Número</t>
  </si>
  <si>
    <t>Parcela</t>
  </si>
  <si>
    <t>Percentual Parcela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</si>
</sst>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R\$\ #,##0.00"/>
    <numFmt numFmtId="165" formatCode="_-&quot;R$ &quot;* #,##0.00_-;&quot;-R$ &quot;* #,##0.00_-;_-&quot;R$ &quot;* \-??_-;_-@_-"/>
  </numFmts>
  <fonts count="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indexed="9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bgColor indexed="49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65" tint="-0.149967955565050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</borders>
  <cellStyleXfs count="4">
    <xf numFmtId="0" fontId="0" fillId="0" borderId="0"/>
    <xf numFmtId="165" fontId="3" fillId="0" borderId="0" applyFill="0" applyBorder="0" applyAlignment="0" applyProtection="0"/>
    <xf numFmtId="9" fontId="3" fillId="0" borderId="0" applyFill="0" applyBorder="0" applyAlignment="0" applyProtection="0"/>
    <xf numFmtId="0" fontId="1" fillId="0" borderId="0"/>
  </cellStyleXfs>
  <cellXfs count="20">
    <xf numFmtId="0" fontId="0" fillId="0" borderId="0" xfId="0"/>
    <xf numFmtId="0" fontId="2" fillId="2" borderId="0" xfId="3" applyFont="1" applyFill="1" applyAlignment="1">
      <alignment horizontal="center"/>
    </xf>
    <xf numFmtId="49" fontId="2" fillId="2" borderId="0" xfId="3" applyNumberFormat="1" applyFont="1" applyFill="1" applyAlignment="1">
      <alignment horizontal="center"/>
    </xf>
    <xf numFmtId="0" fontId="1" fillId="0" borderId="0" xfId="3"/>
    <xf numFmtId="49" fontId="3" fillId="0" borderId="1" xfId="3" applyNumberFormat="1" applyFont="1" applyBorder="1" applyAlignment="1">
      <alignment horizontal="center" vertical="center" wrapText="1"/>
    </xf>
    <xf numFmtId="49" fontId="3" fillId="0" borderId="1" xfId="3" quotePrefix="1" applyNumberFormat="1" applyFont="1" applyBorder="1" applyAlignment="1">
      <alignment horizontal="center" vertical="center" wrapText="1"/>
    </xf>
    <xf numFmtId="4" fontId="3" fillId="3" borderId="1" xfId="3" applyNumberFormat="1" applyFont="1" applyFill="1" applyBorder="1" applyAlignment="1">
      <alignment horizontal="center" vertical="center"/>
    </xf>
    <xf numFmtId="164" fontId="3" fillId="0" borderId="1" xfId="3" applyNumberFormat="1" applyFont="1" applyBorder="1" applyAlignment="1">
      <alignment horizontal="center" vertical="center"/>
    </xf>
    <xf numFmtId="10" fontId="3" fillId="0" borderId="1" xfId="2" applyNumberFormat="1" applyBorder="1" applyAlignment="1">
      <alignment horizontal="center" vertical="center"/>
    </xf>
    <xf numFmtId="164" fontId="3" fillId="3" borderId="1" xfId="3" applyNumberFormat="1" applyFont="1" applyFill="1" applyBorder="1" applyAlignment="1">
      <alignment horizontal="center" vertical="center"/>
    </xf>
    <xf numFmtId="1" fontId="3" fillId="0" borderId="1" xfId="3" applyNumberFormat="1" applyFont="1" applyBorder="1" applyAlignment="1">
      <alignment horizontal="center" vertical="center" wrapText="1"/>
    </xf>
    <xf numFmtId="4" fontId="3" fillId="0" borderId="1" xfId="3" applyNumberFormat="1" applyFont="1" applyBorder="1" applyAlignment="1">
      <alignment horizontal="center" vertical="center"/>
    </xf>
    <xf numFmtId="49" fontId="1" fillId="0" borderId="0" xfId="3" applyNumberFormat="1"/>
    <xf numFmtId="0" fontId="1" fillId="0" borderId="0" xfId="3" applyAlignment="1">
      <alignment horizontal="right"/>
    </xf>
    <xf numFmtId="165" fontId="3" fillId="4" borderId="1" xfId="1" applyFill="1" applyBorder="1"/>
    <xf numFmtId="0" fontId="3" fillId="0" borderId="2" xfId="3" applyFont="1" applyBorder="1" applyAlignment="1">
      <alignment horizontal="center" vertical="center" wrapText="1"/>
    </xf>
    <xf numFmtId="0" fontId="3" fillId="0" borderId="3" xfId="3" applyFont="1" applyBorder="1" applyAlignment="1">
      <alignment horizontal="center" vertical="center" wrapText="1"/>
    </xf>
    <xf numFmtId="2" fontId="3" fillId="0" borderId="3" xfId="3" applyNumberFormat="1" applyFont="1" applyBorder="1" applyAlignment="1">
      <alignment horizontal="center" vertical="center"/>
    </xf>
    <xf numFmtId="0" fontId="3" fillId="0" borderId="4" xfId="3" applyFont="1" applyBorder="1" applyAlignment="1">
      <alignment horizontal="center" vertical="center" wrapText="1"/>
    </xf>
    <xf numFmtId="0" fontId="3" fillId="0" borderId="5" xfId="3" applyFont="1" applyBorder="1" applyAlignment="1">
      <alignment horizontal="center" vertical="center" wrapText="1"/>
    </xf>
  </cellXfs>
  <cellStyles count="4">
    <cellStyle name="Moeda" xfId="1" builtinId="4"/>
    <cellStyle name="Normal" xfId="0" builtinId="0"/>
    <cellStyle name="Normal 4" xfId="3" xr:uid="{F27A2F38-36BD-4FAA-8C96-49D19260286E}"/>
    <cellStyle name="Porcentagem" xfId="2" builtinId="5"/>
  </cellStyles>
  <dxfs count="18">
    <dxf>
      <fill>
        <patternFill>
          <bgColor rgb="FFFF0000"/>
        </patternFill>
      </fill>
    </dxf>
    <dxf>
      <font>
        <b/>
        <i val="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&#193;rea%20de%20Trabalho\Planilha_Multipla_v3_16.xlsm" TargetMode="External"/><Relationship Id="rId1" Type="http://schemas.openxmlformats.org/officeDocument/2006/relationships/externalLinkPath" Target="Planilha_Multipla_v3_16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VO"/>
      <sheetName val="MENU"/>
      <sheetName val="DADOS"/>
      <sheetName val="BDI"/>
      <sheetName val="ORÇAMENTO"/>
      <sheetName val="EVENTOS"/>
      <sheetName val="CÁLCULO"/>
      <sheetName val="CRONOPLE"/>
      <sheetName val="CRONO"/>
      <sheetName val="QCI"/>
      <sheetName val="PLE"/>
      <sheetName val="BM"/>
      <sheetName val="RRE"/>
      <sheetName val="OFÍCIO"/>
      <sheetName val="PO-PLE"/>
      <sheetName val="CFF-PLE"/>
      <sheetName val="PO-BM"/>
      <sheetName val="CFF-BM"/>
    </sheetNames>
    <sheetDataSet>
      <sheetData sheetId="0"/>
      <sheetData sheetId="1">
        <row r="1">
          <cell r="J1" t="str">
            <v>PM</v>
          </cell>
          <cell r="K1" t="b">
            <v>1</v>
          </cell>
        </row>
        <row r="2">
          <cell r="J2" t="str">
            <v>v3.16</v>
          </cell>
          <cell r="K2" t="b">
            <v>1</v>
          </cell>
        </row>
        <row r="3">
          <cell r="O3">
            <v>1</v>
          </cell>
        </row>
        <row r="4">
          <cell r="J4" t="str">
            <v>BM</v>
          </cell>
        </row>
      </sheetData>
      <sheetData sheetId="2">
        <row r="2">
          <cell r="G2" t="str">
            <v>(SELECIONAR)</v>
          </cell>
          <cell r="H2" t="str">
            <v>(SELECIONAR)</v>
          </cell>
          <cell r="I2" t="str">
            <v>(SELECIONAR)</v>
          </cell>
          <cell r="J2" t="str">
            <v>Tradicional</v>
          </cell>
          <cell r="L2" t="str">
            <v>Itens de Investimento</v>
          </cell>
          <cell r="M2" t="str">
            <v>Unidades habitacionais</v>
          </cell>
          <cell r="N2">
            <v>3</v>
          </cell>
          <cell r="O2" t="str">
            <v>Equipamentos comunitários</v>
          </cell>
          <cell r="P2">
            <v>6</v>
          </cell>
          <cell r="Q2" t="str">
            <v>Pavimentação</v>
          </cell>
          <cell r="R2">
            <v>6</v>
          </cell>
          <cell r="S2" t="str">
            <v xml:space="preserve">Drenagem </v>
          </cell>
          <cell r="T2">
            <v>6</v>
          </cell>
          <cell r="U2" t="str">
            <v>Abastecimento de água</v>
          </cell>
          <cell r="V2">
            <v>11</v>
          </cell>
          <cell r="W2" t="str">
            <v>Esgotamento sanitário</v>
          </cell>
          <cell r="X2">
            <v>8</v>
          </cell>
          <cell r="Y2" t="str">
            <v>Energia elétrica e iluminação pública</v>
          </cell>
          <cell r="Z2">
            <v>4</v>
          </cell>
          <cell r="AA2" t="str">
            <v>Coleta e tratamento de resíduos sólidos</v>
          </cell>
          <cell r="AB2">
            <v>6</v>
          </cell>
          <cell r="AC2" t="str">
            <v xml:space="preserve">Contenção e estabilização de encostas </v>
          </cell>
          <cell r="AD2">
            <v>2</v>
          </cell>
          <cell r="AE2" t="str">
            <v>Regularização fundiária</v>
          </cell>
          <cell r="AF2">
            <v>2</v>
          </cell>
          <cell r="AG2" t="str">
            <v>Aquisição de terreno</v>
          </cell>
          <cell r="AH2">
            <v>2</v>
          </cell>
          <cell r="AI2" t="str">
            <v>Aquisição de equipamentos e insumos</v>
          </cell>
          <cell r="AJ2">
            <v>1</v>
          </cell>
          <cell r="AK2" t="str">
            <v>Elaboração de estudos e projetos</v>
          </cell>
          <cell r="AL2">
            <v>1</v>
          </cell>
          <cell r="AM2" t="str">
            <v>Instrumentos e ações em planejamento e gestão pública</v>
          </cell>
          <cell r="AN2">
            <v>1</v>
          </cell>
          <cell r="AO2" t="str">
            <v>Ações complementares às obras</v>
          </cell>
          <cell r="AP2">
            <v>3</v>
          </cell>
          <cell r="AQ2" t="str">
            <v>Gerenciamento</v>
          </cell>
          <cell r="AR2">
            <v>1</v>
          </cell>
          <cell r="AS2" t="str">
            <v>Trabalho social</v>
          </cell>
          <cell r="AT2">
            <v>4</v>
          </cell>
          <cell r="AV2" t="str">
            <v>Sigla</v>
          </cell>
          <cell r="AW2" t="str">
            <v>Descrição</v>
          </cell>
        </row>
        <row r="3">
          <cell r="G3" t="str">
            <v>OGU</v>
          </cell>
          <cell r="H3" t="str">
            <v>NÃO SE APLICA</v>
          </cell>
          <cell r="I3" t="str">
            <v>INDEFINIDO / NÃO SE APLICA</v>
          </cell>
          <cell r="J3" t="str">
            <v>TransfereGOV</v>
          </cell>
          <cell r="L3" t="str">
            <v>Unidades habitacionais</v>
          </cell>
          <cell r="AV3" t="str">
            <v>%CT</v>
          </cell>
        </row>
        <row r="4">
          <cell r="C4" t="str">
            <v>OGU</v>
          </cell>
          <cell r="G4" t="str">
            <v>FGTS</v>
          </cell>
          <cell r="H4" t="str">
            <v>DESONERADO</v>
          </cell>
          <cell r="I4" t="str">
            <v>EMPREITADA POR PREÇO GLOBAL</v>
          </cell>
          <cell r="L4" t="str">
            <v>Equipamentos comunitários</v>
          </cell>
          <cell r="AV4" t="str">
            <v>°C</v>
          </cell>
        </row>
        <row r="5">
          <cell r="C5" t="str">
            <v>Prefeitura Municipal de Rosário do Sul</v>
          </cell>
          <cell r="H5" t="str">
            <v>NÃO DESONERADO</v>
          </cell>
          <cell r="I5" t="str">
            <v>EMPREITADA POR PREÇO UNITÁRIO</v>
          </cell>
          <cell r="L5" t="str">
            <v>Pavimentação</v>
          </cell>
          <cell r="AV5" t="str">
            <v>°F</v>
          </cell>
        </row>
        <row r="6">
          <cell r="C6" t="str">
            <v>Rosário do Sul/RS</v>
          </cell>
          <cell r="I6" t="str">
            <v>EMPREITADA INTEGRAL</v>
          </cell>
          <cell r="L6" t="str">
            <v xml:space="preserve">Drenagem </v>
          </cell>
          <cell r="AV6" t="str">
            <v>100M</v>
          </cell>
        </row>
        <row r="7">
          <cell r="C7" t="str">
            <v>1101345-94</v>
          </cell>
          <cell r="I7" t="str">
            <v>TAREFA</v>
          </cell>
          <cell r="L7" t="str">
            <v>Abastecimento de água</v>
          </cell>
          <cell r="AV7" t="str">
            <v>18L</v>
          </cell>
        </row>
        <row r="8">
          <cell r="C8" t="str">
            <v>977894</v>
          </cell>
          <cell r="I8" t="str">
            <v>CONTRATAÇÃO INTEGRADA</v>
          </cell>
          <cell r="L8" t="str">
            <v>Esgotamento sanitário</v>
          </cell>
          <cell r="AV8" t="str">
            <v>200KG</v>
          </cell>
        </row>
        <row r="9">
          <cell r="C9">
            <v>3599938.53</v>
          </cell>
          <cell r="I9" t="str">
            <v>ADM. DIRETA</v>
          </cell>
          <cell r="L9" t="str">
            <v>Energia elétrica e iluminação pública</v>
          </cell>
          <cell r="AV9" t="str">
            <v>250G</v>
          </cell>
        </row>
        <row r="10">
          <cell r="C10">
            <v>724881.59</v>
          </cell>
          <cell r="L10" t="str">
            <v>Coleta e tratamento de resíduos sólidos</v>
          </cell>
          <cell r="AV10" t="str">
            <v>310ML</v>
          </cell>
        </row>
        <row r="11">
          <cell r="C11">
            <v>0</v>
          </cell>
          <cell r="L11" t="str">
            <v xml:space="preserve">Contenção e estabilização de encostas </v>
          </cell>
          <cell r="AV11" t="str">
            <v>50KG</v>
          </cell>
        </row>
        <row r="12">
          <cell r="L12" t="str">
            <v>Regularização fundiária</v>
          </cell>
          <cell r="AV12" t="str">
            <v>A</v>
          </cell>
        </row>
        <row r="13">
          <cell r="L13" t="str">
            <v>Aquisição de terreno</v>
          </cell>
          <cell r="AV13" t="str">
            <v>ACA/ACC</v>
          </cell>
        </row>
        <row r="14">
          <cell r="L14" t="str">
            <v>Aquisição de equipamentos e insumos</v>
          </cell>
          <cell r="AV14" t="str">
            <v>AH</v>
          </cell>
        </row>
        <row r="15">
          <cell r="L15" t="str">
            <v>Elaboração de estudos e projetos</v>
          </cell>
          <cell r="AV15" t="str">
            <v>AH/H/V</v>
          </cell>
        </row>
        <row r="16">
          <cell r="C16" t="str">
            <v>Escola Tipo 2 - Opção 220V com Aparelhos de Ar Condicionado</v>
          </cell>
          <cell r="L16" t="str">
            <v>Instrumentos e ações em planejamento e gestão pública</v>
          </cell>
          <cell r="AV16" t="str">
            <v>AM</v>
          </cell>
        </row>
        <row r="17">
          <cell r="C17" t="str">
            <v>Lote 1 - CRECHE TIPO 2</v>
          </cell>
          <cell r="L17" t="str">
            <v>Ações complementares às obras</v>
          </cell>
          <cell r="AV17" t="str">
            <v>AM0/4ML</v>
          </cell>
        </row>
        <row r="18">
          <cell r="C18" t="str">
            <v>NÃO DESONERADO</v>
          </cell>
          <cell r="D18" t="str">
            <v/>
          </cell>
          <cell r="L18" t="str">
            <v>Gerenciamento</v>
          </cell>
          <cell r="AV18" t="str">
            <v>AM0/5ML</v>
          </cell>
        </row>
        <row r="19">
          <cell r="D19" t="str">
            <v/>
          </cell>
          <cell r="L19" t="str">
            <v>Trabalho social</v>
          </cell>
          <cell r="AV19" t="str">
            <v>AM1/5ML</v>
          </cell>
        </row>
        <row r="20">
          <cell r="AV20" t="str">
            <v>AM10ML</v>
          </cell>
        </row>
        <row r="21">
          <cell r="AV21" t="str">
            <v>AM1ML</v>
          </cell>
        </row>
        <row r="22">
          <cell r="C22" t="str">
            <v>Gleber Clairton Severo Machado</v>
          </cell>
          <cell r="AV22" t="str">
            <v>AM2/5ML</v>
          </cell>
        </row>
        <row r="23">
          <cell r="C23" t="str">
            <v>A29825-5</v>
          </cell>
          <cell r="AV23" t="str">
            <v>AM2ML</v>
          </cell>
        </row>
        <row r="24">
          <cell r="C24" t="str">
            <v>16109914</v>
          </cell>
          <cell r="AV24" t="str">
            <v>AM3ML</v>
          </cell>
        </row>
        <row r="25">
          <cell r="D25" t="str">
            <v/>
          </cell>
          <cell r="AV25" t="str">
            <v>AM4ML</v>
          </cell>
        </row>
        <row r="26">
          <cell r="AV26" t="str">
            <v>AM5ML</v>
          </cell>
        </row>
        <row r="27">
          <cell r="AV27" t="str">
            <v>AM6ML</v>
          </cell>
        </row>
        <row r="28">
          <cell r="AV28" t="str">
            <v>AM7ML</v>
          </cell>
        </row>
        <row r="29">
          <cell r="AV29" t="str">
            <v>ANO</v>
          </cell>
        </row>
        <row r="30">
          <cell r="AV30" t="str">
            <v>ANOS</v>
          </cell>
        </row>
        <row r="31">
          <cell r="C31" t="str">
            <v>TransfereGOV</v>
          </cell>
          <cell r="AV31" t="str">
            <v>ARR</v>
          </cell>
        </row>
        <row r="32">
          <cell r="AV32" t="str">
            <v>AWG</v>
          </cell>
        </row>
        <row r="33">
          <cell r="AV33" t="str">
            <v>BAR</v>
          </cell>
        </row>
        <row r="34">
          <cell r="AV34" t="str">
            <v>BAR.</v>
          </cell>
        </row>
        <row r="35">
          <cell r="AV35" t="str">
            <v>BD</v>
          </cell>
        </row>
        <row r="36">
          <cell r="AV36" t="str">
            <v>BIS</v>
          </cell>
        </row>
        <row r="37">
          <cell r="AV37" t="str">
            <v>BIS/GL</v>
          </cell>
        </row>
        <row r="38">
          <cell r="AV38" t="str">
            <v>BIS1/65G</v>
          </cell>
        </row>
        <row r="39">
          <cell r="AV39" t="str">
            <v>BIS1/8G</v>
          </cell>
        </row>
        <row r="40">
          <cell r="D40" t="str">
            <v/>
          </cell>
          <cell r="AV40" t="str">
            <v>BIS100G</v>
          </cell>
        </row>
        <row r="41">
          <cell r="D41" t="str">
            <v/>
          </cell>
          <cell r="AV41" t="str">
            <v>BIS10G</v>
          </cell>
        </row>
        <row r="42">
          <cell r="AV42" t="str">
            <v>BIS135G</v>
          </cell>
        </row>
        <row r="43">
          <cell r="AV43" t="str">
            <v>BIS13G</v>
          </cell>
        </row>
        <row r="44">
          <cell r="AV44" t="str">
            <v>BIS14G</v>
          </cell>
        </row>
        <row r="45">
          <cell r="AV45" t="str">
            <v>BIS15G</v>
          </cell>
        </row>
        <row r="46">
          <cell r="AV46" t="str">
            <v>BIS1G</v>
          </cell>
        </row>
        <row r="47">
          <cell r="AV47" t="str">
            <v>BIS20G</v>
          </cell>
        </row>
        <row r="48">
          <cell r="AV48" t="str">
            <v>BIS25G</v>
          </cell>
        </row>
        <row r="49">
          <cell r="AV49" t="str">
            <v>BIS28/8G</v>
          </cell>
        </row>
        <row r="50">
          <cell r="AV50" t="str">
            <v>BIS28G</v>
          </cell>
        </row>
        <row r="51">
          <cell r="AV51" t="str">
            <v>BIS2G</v>
          </cell>
        </row>
        <row r="52">
          <cell r="AV52" t="str">
            <v>BIS3/5G</v>
          </cell>
        </row>
        <row r="53">
          <cell r="AV53" t="str">
            <v>BIS30G</v>
          </cell>
        </row>
        <row r="54">
          <cell r="AV54" t="str">
            <v>BIS30ML</v>
          </cell>
        </row>
        <row r="55">
          <cell r="AV55" t="str">
            <v>BIS40G</v>
          </cell>
        </row>
        <row r="56">
          <cell r="AV56" t="str">
            <v>BIS43G</v>
          </cell>
        </row>
        <row r="57">
          <cell r="AV57" t="str">
            <v>BIS45G</v>
          </cell>
        </row>
        <row r="58">
          <cell r="AV58" t="str">
            <v>BIS47G</v>
          </cell>
        </row>
        <row r="59">
          <cell r="AV59" t="str">
            <v>BIS4G</v>
          </cell>
        </row>
        <row r="60">
          <cell r="AV60" t="str">
            <v>BIS50G</v>
          </cell>
        </row>
        <row r="61">
          <cell r="AV61" t="str">
            <v>BIS55G</v>
          </cell>
        </row>
        <row r="62">
          <cell r="AV62" t="str">
            <v>BIS56G</v>
          </cell>
        </row>
        <row r="63">
          <cell r="AV63" t="str">
            <v>BIS5G</v>
          </cell>
        </row>
        <row r="64">
          <cell r="AV64" t="str">
            <v>BIS60G</v>
          </cell>
        </row>
        <row r="65">
          <cell r="AV65" t="str">
            <v>BIS6G</v>
          </cell>
        </row>
        <row r="66">
          <cell r="AV66" t="str">
            <v>BIS7/5G</v>
          </cell>
        </row>
        <row r="67">
          <cell r="AV67" t="str">
            <v>BIS70G</v>
          </cell>
        </row>
        <row r="68">
          <cell r="AV68" t="str">
            <v>BIS80G</v>
          </cell>
        </row>
        <row r="69">
          <cell r="AV69" t="str">
            <v>BIS90G</v>
          </cell>
        </row>
        <row r="70">
          <cell r="AV70" t="str">
            <v>BIT</v>
          </cell>
        </row>
        <row r="71">
          <cell r="AV71" t="str">
            <v>BL</v>
          </cell>
        </row>
        <row r="72">
          <cell r="AV72" t="str">
            <v>BLIS</v>
          </cell>
        </row>
        <row r="73">
          <cell r="AV73" t="str">
            <v>BLIS21CP</v>
          </cell>
        </row>
        <row r="74">
          <cell r="AV74" t="str">
            <v>BLIS35CP</v>
          </cell>
        </row>
        <row r="75">
          <cell r="AV75" t="str">
            <v>BOB</v>
          </cell>
        </row>
        <row r="76">
          <cell r="AV76" t="str">
            <v>BOL</v>
          </cell>
        </row>
        <row r="77">
          <cell r="AV77" t="str">
            <v>BOM</v>
          </cell>
        </row>
        <row r="78">
          <cell r="AV78" t="str">
            <v>BPM</v>
          </cell>
        </row>
        <row r="79">
          <cell r="AV79" t="str">
            <v>BPS</v>
          </cell>
        </row>
        <row r="80">
          <cell r="AV80" t="str">
            <v>BR</v>
          </cell>
        </row>
        <row r="81">
          <cell r="AV81" t="str">
            <v>BRI</v>
          </cell>
        </row>
        <row r="82">
          <cell r="AV82" t="str">
            <v>BTJ</v>
          </cell>
        </row>
        <row r="83">
          <cell r="AV83" t="str">
            <v>BTU</v>
          </cell>
        </row>
        <row r="84">
          <cell r="AV84" t="str">
            <v>BTU/H</v>
          </cell>
        </row>
        <row r="85">
          <cell r="AV85" t="str">
            <v>BWG</v>
          </cell>
        </row>
        <row r="86">
          <cell r="AV86" t="str">
            <v>C</v>
          </cell>
        </row>
        <row r="87">
          <cell r="AV87" t="str">
            <v>CA</v>
          </cell>
        </row>
        <row r="88">
          <cell r="AV88" t="str">
            <v>CAD</v>
          </cell>
        </row>
        <row r="89">
          <cell r="AV89" t="str">
            <v>CAL/G</v>
          </cell>
        </row>
        <row r="90">
          <cell r="AV90" t="str">
            <v>CAPS</v>
          </cell>
        </row>
        <row r="91">
          <cell r="AV91" t="str">
            <v>CAR</v>
          </cell>
        </row>
        <row r="92">
          <cell r="AV92" t="str">
            <v>CC</v>
          </cell>
        </row>
        <row r="93">
          <cell r="AV93" t="str">
            <v>CD</v>
          </cell>
        </row>
        <row r="94">
          <cell r="AV94" t="str">
            <v>CD/M2</v>
          </cell>
        </row>
        <row r="95">
          <cell r="AV95" t="str">
            <v>CENTO</v>
          </cell>
        </row>
        <row r="96">
          <cell r="AV96" t="str">
            <v>CG</v>
          </cell>
        </row>
        <row r="97">
          <cell r="AV97" t="str">
            <v>CH</v>
          </cell>
        </row>
        <row r="98">
          <cell r="AV98" t="str">
            <v>CHI</v>
          </cell>
        </row>
        <row r="99">
          <cell r="AV99" t="str">
            <v>CHP</v>
          </cell>
        </row>
        <row r="100">
          <cell r="AV100" t="str">
            <v>CHP</v>
          </cell>
        </row>
        <row r="101">
          <cell r="AV101" t="str">
            <v>CI</v>
          </cell>
        </row>
        <row r="102">
          <cell r="AV102" t="str">
            <v>CIL</v>
          </cell>
        </row>
        <row r="103">
          <cell r="AV103" t="str">
            <v>CIN</v>
          </cell>
        </row>
        <row r="104">
          <cell r="AV104" t="str">
            <v>CJ</v>
          </cell>
        </row>
        <row r="105">
          <cell r="AV105" t="str">
            <v>CL</v>
          </cell>
        </row>
        <row r="106">
          <cell r="AV106" t="str">
            <v>CM</v>
          </cell>
        </row>
        <row r="107">
          <cell r="AV107" t="str">
            <v>CM/POL</v>
          </cell>
        </row>
        <row r="108">
          <cell r="AV108" t="str">
            <v>CM2</v>
          </cell>
        </row>
        <row r="109">
          <cell r="AV109" t="str">
            <v>CM2/H</v>
          </cell>
        </row>
        <row r="110">
          <cell r="AV110" t="str">
            <v>CM2/M</v>
          </cell>
        </row>
        <row r="111">
          <cell r="AV111" t="str">
            <v>CM3</v>
          </cell>
        </row>
        <row r="112">
          <cell r="AV112" t="str">
            <v>CM³/H</v>
          </cell>
        </row>
        <row r="113">
          <cell r="AV113" t="str">
            <v>CM³/MIN</v>
          </cell>
        </row>
        <row r="114">
          <cell r="AV114" t="str">
            <v>CNT</v>
          </cell>
        </row>
        <row r="115">
          <cell r="AV115" t="str">
            <v>CO</v>
          </cell>
        </row>
        <row r="116">
          <cell r="AV116" t="str">
            <v>COL</v>
          </cell>
        </row>
        <row r="117">
          <cell r="AV117" t="str">
            <v>COMP</v>
          </cell>
        </row>
        <row r="118">
          <cell r="AV118" t="str">
            <v>COMPR</v>
          </cell>
        </row>
        <row r="119">
          <cell r="AV119" t="str">
            <v>CÓPIA</v>
          </cell>
        </row>
        <row r="120">
          <cell r="AV120" t="str">
            <v>COPO</v>
          </cell>
        </row>
        <row r="121">
          <cell r="AV121" t="str">
            <v>CP</v>
          </cell>
        </row>
        <row r="122">
          <cell r="AV122" t="str">
            <v>CPL</v>
          </cell>
        </row>
        <row r="123">
          <cell r="AV123" t="str">
            <v>CPM</v>
          </cell>
        </row>
        <row r="124">
          <cell r="AV124" t="str">
            <v>CPS</v>
          </cell>
        </row>
        <row r="125">
          <cell r="AV125" t="str">
            <v>CRT</v>
          </cell>
        </row>
        <row r="126">
          <cell r="AV126" t="str">
            <v>CS</v>
          </cell>
        </row>
        <row r="127">
          <cell r="AV127" t="str">
            <v>CST</v>
          </cell>
        </row>
        <row r="128">
          <cell r="AV128" t="str">
            <v>CT</v>
          </cell>
        </row>
        <row r="129">
          <cell r="AV129" t="str">
            <v>CTE</v>
          </cell>
        </row>
        <row r="130">
          <cell r="AV130" t="str">
            <v>CV</v>
          </cell>
        </row>
        <row r="131">
          <cell r="AV131" t="str">
            <v>CX</v>
          </cell>
        </row>
        <row r="132">
          <cell r="AV132" t="str">
            <v>CX100UN</v>
          </cell>
        </row>
        <row r="133">
          <cell r="AV133" t="str">
            <v>CX40UN</v>
          </cell>
        </row>
        <row r="134">
          <cell r="AV134" t="str">
            <v>D</v>
          </cell>
        </row>
        <row r="135">
          <cell r="AV135" t="str">
            <v>DAG</v>
          </cell>
        </row>
        <row r="136">
          <cell r="AV136" t="str">
            <v>DAL</v>
          </cell>
        </row>
        <row r="137">
          <cell r="AV137" t="str">
            <v>DAM</v>
          </cell>
        </row>
        <row r="138">
          <cell r="AV138" t="str">
            <v>DAN</v>
          </cell>
        </row>
        <row r="139">
          <cell r="AV139" t="str">
            <v>DB</v>
          </cell>
        </row>
        <row r="140">
          <cell r="AV140" t="str">
            <v>DBM</v>
          </cell>
        </row>
        <row r="141">
          <cell r="AV141" t="str">
            <v>DG</v>
          </cell>
        </row>
        <row r="142">
          <cell r="AV142" t="str">
            <v>DGT</v>
          </cell>
        </row>
        <row r="143">
          <cell r="AV143" t="str">
            <v>DIA</v>
          </cell>
        </row>
        <row r="144">
          <cell r="AV144" t="str">
            <v>DIAS</v>
          </cell>
        </row>
        <row r="145">
          <cell r="AV145" t="str">
            <v>DISCO</v>
          </cell>
        </row>
        <row r="146">
          <cell r="AV146" t="str">
            <v>DL</v>
          </cell>
        </row>
        <row r="147">
          <cell r="AV147" t="str">
            <v>DM</v>
          </cell>
        </row>
        <row r="148">
          <cell r="AV148" t="str">
            <v>DM2</v>
          </cell>
        </row>
        <row r="149">
          <cell r="AV149" t="str">
            <v>DM3</v>
          </cell>
        </row>
        <row r="150">
          <cell r="AV150" t="str">
            <v>DM3</v>
          </cell>
        </row>
        <row r="151">
          <cell r="AV151" t="str">
            <v>DOSES</v>
          </cell>
        </row>
        <row r="152">
          <cell r="AV152" t="str">
            <v>DPI</v>
          </cell>
        </row>
        <row r="153">
          <cell r="AV153" t="str">
            <v>DPT</v>
          </cell>
        </row>
        <row r="154">
          <cell r="AV154" t="str">
            <v>DRAG</v>
          </cell>
        </row>
        <row r="155">
          <cell r="AV155" t="str">
            <v>DZ</v>
          </cell>
        </row>
        <row r="156">
          <cell r="AV156" t="str">
            <v>EMB</v>
          </cell>
        </row>
        <row r="157">
          <cell r="AV157" t="str">
            <v>EMB/H</v>
          </cell>
        </row>
        <row r="158">
          <cell r="AV158" t="str">
            <v>EMP</v>
          </cell>
        </row>
        <row r="159">
          <cell r="AV159" t="str">
            <v>ENV</v>
          </cell>
        </row>
        <row r="160">
          <cell r="AV160" t="str">
            <v>ENV27/9G</v>
          </cell>
        </row>
        <row r="161">
          <cell r="AV161" t="str">
            <v>ENV30G</v>
          </cell>
        </row>
        <row r="162">
          <cell r="AV162" t="str">
            <v>EQP</v>
          </cell>
        </row>
        <row r="163">
          <cell r="AV163" t="str">
            <v>EST</v>
          </cell>
        </row>
        <row r="164">
          <cell r="AV164" t="str">
            <v>EV</v>
          </cell>
        </row>
        <row r="165">
          <cell r="AV165" t="str">
            <v>F</v>
          </cell>
        </row>
        <row r="166">
          <cell r="AV166" t="str">
            <v>FCK</v>
          </cell>
        </row>
        <row r="167">
          <cell r="AV167" t="str">
            <v>FD</v>
          </cell>
        </row>
        <row r="168">
          <cell r="AV168" t="str">
            <v>FL</v>
          </cell>
        </row>
        <row r="169">
          <cell r="AV169" t="str">
            <v>FLAC</v>
          </cell>
        </row>
        <row r="170">
          <cell r="AV170" t="str">
            <v>FLS/H</v>
          </cell>
        </row>
        <row r="171">
          <cell r="AV171" t="str">
            <v>FPM</v>
          </cell>
        </row>
        <row r="172">
          <cell r="AV172" t="str">
            <v>FPS</v>
          </cell>
        </row>
        <row r="173">
          <cell r="AV173" t="str">
            <v>FR</v>
          </cell>
        </row>
        <row r="174">
          <cell r="AV174" t="str">
            <v>FR1000ML</v>
          </cell>
        </row>
        <row r="175">
          <cell r="AV175" t="str">
            <v>FR100DS</v>
          </cell>
        </row>
        <row r="176">
          <cell r="AV176" t="str">
            <v>FR100ML</v>
          </cell>
        </row>
        <row r="177">
          <cell r="AV177" t="str">
            <v>FR105ML</v>
          </cell>
        </row>
        <row r="178">
          <cell r="AV178" t="str">
            <v>FR10ML</v>
          </cell>
        </row>
        <row r="179">
          <cell r="AV179" t="str">
            <v>FR110ML</v>
          </cell>
        </row>
        <row r="180">
          <cell r="AV180" t="str">
            <v>FR1200MG</v>
          </cell>
        </row>
        <row r="181">
          <cell r="AV181" t="str">
            <v>FR120DS</v>
          </cell>
        </row>
        <row r="182">
          <cell r="AV182" t="str">
            <v>FR120ML</v>
          </cell>
        </row>
        <row r="183">
          <cell r="AV183" t="str">
            <v>FR125ML</v>
          </cell>
        </row>
        <row r="184">
          <cell r="AV184" t="str">
            <v>FR130DS</v>
          </cell>
        </row>
        <row r="185">
          <cell r="AV185" t="str">
            <v>FR1500MG</v>
          </cell>
        </row>
        <row r="186">
          <cell r="AV186" t="str">
            <v>FR150DS</v>
          </cell>
        </row>
        <row r="187">
          <cell r="AV187" t="str">
            <v>FR150ML</v>
          </cell>
        </row>
        <row r="188">
          <cell r="AV188" t="str">
            <v>FR15ML</v>
          </cell>
        </row>
        <row r="189">
          <cell r="AV189" t="str">
            <v>FR160ML</v>
          </cell>
        </row>
        <row r="190">
          <cell r="AV190" t="str">
            <v>FR200DS</v>
          </cell>
        </row>
        <row r="191">
          <cell r="AV191" t="str">
            <v>FR200ML</v>
          </cell>
        </row>
        <row r="192">
          <cell r="AV192" t="str">
            <v>FR20ML</v>
          </cell>
        </row>
        <row r="193">
          <cell r="AV193" t="str">
            <v>FR240ML</v>
          </cell>
        </row>
        <row r="194">
          <cell r="AV194" t="str">
            <v>FR250ML</v>
          </cell>
        </row>
        <row r="195">
          <cell r="AV195" t="str">
            <v>FR300DS</v>
          </cell>
        </row>
        <row r="196">
          <cell r="AV196" t="str">
            <v>FR300ML</v>
          </cell>
        </row>
        <row r="197">
          <cell r="AV197" t="str">
            <v>FR30DS</v>
          </cell>
        </row>
        <row r="198">
          <cell r="AV198" t="str">
            <v>FR30G</v>
          </cell>
        </row>
        <row r="199">
          <cell r="AV199" t="str">
            <v>FR30ML</v>
          </cell>
        </row>
        <row r="200">
          <cell r="AV200" t="str">
            <v>FR340ML</v>
          </cell>
        </row>
        <row r="201">
          <cell r="AV201" t="str">
            <v>FR350ML</v>
          </cell>
        </row>
        <row r="202">
          <cell r="AV202" t="str">
            <v>FR40ML</v>
          </cell>
        </row>
        <row r="203">
          <cell r="AV203" t="str">
            <v>FR45ML</v>
          </cell>
        </row>
        <row r="204">
          <cell r="AV204" t="str">
            <v>FR500ML</v>
          </cell>
        </row>
        <row r="205">
          <cell r="AV205" t="str">
            <v>H</v>
          </cell>
        </row>
        <row r="206">
          <cell r="AV206" t="str">
            <v>KG</v>
          </cell>
        </row>
        <row r="207">
          <cell r="AV207" t="str">
            <v>KM</v>
          </cell>
        </row>
        <row r="208">
          <cell r="AV208" t="str">
            <v>M</v>
          </cell>
        </row>
        <row r="209">
          <cell r="AV209" t="str">
            <v>M2</v>
          </cell>
        </row>
        <row r="210">
          <cell r="AV210" t="str">
            <v>M3</v>
          </cell>
        </row>
        <row r="211">
          <cell r="AV211" t="str">
            <v>M3XKM</v>
          </cell>
        </row>
        <row r="212">
          <cell r="AV212" t="str">
            <v>MES</v>
          </cell>
        </row>
        <row r="213">
          <cell r="AV213" t="str">
            <v>MÊS</v>
          </cell>
        </row>
        <row r="214">
          <cell r="AV214" t="str">
            <v>MESES</v>
          </cell>
        </row>
        <row r="215">
          <cell r="AV215" t="str">
            <v>OUTRAS</v>
          </cell>
        </row>
        <row r="216">
          <cell r="AV216" t="str">
            <v>PAR</v>
          </cell>
        </row>
        <row r="217">
          <cell r="AV217" t="str">
            <v>PC</v>
          </cell>
        </row>
        <row r="218">
          <cell r="AV218" t="str">
            <v>T</v>
          </cell>
        </row>
        <row r="219">
          <cell r="AV219" t="str">
            <v>TXKM</v>
          </cell>
        </row>
        <row r="220">
          <cell r="AV220" t="str">
            <v>UN</v>
          </cell>
        </row>
      </sheetData>
      <sheetData sheetId="3">
        <row r="14">
          <cell r="J14" t="str">
            <v>BDI 1</v>
          </cell>
        </row>
        <row r="17">
          <cell r="J17" t="str">
            <v>Construção e Reforma de Edifícios</v>
          </cell>
        </row>
        <row r="54">
          <cell r="J54" t="str">
            <v>BDI 2</v>
          </cell>
        </row>
        <row r="57">
          <cell r="J57" t="str">
            <v>(SELECIONAR)</v>
          </cell>
        </row>
        <row r="94">
          <cell r="J94" t="str">
            <v>BDI 3</v>
          </cell>
        </row>
        <row r="97">
          <cell r="J97" t="str">
            <v>(SELECIONAR)</v>
          </cell>
        </row>
        <row r="138">
          <cell r="A138" t="str">
            <v>(SELECIONAR)</v>
          </cell>
        </row>
        <row r="139">
          <cell r="A139" t="str">
            <v>Construção e Reforma de Edifícios</v>
          </cell>
        </row>
        <row r="140">
          <cell r="A140" t="str">
            <v>Construção de Praças Urbanas, Rodovias, Ferrovias e recapeamento e pavimentação de vias urbanas</v>
          </cell>
        </row>
        <row r="141">
          <cell r="A141" t="str">
            <v>Construção de Redes de Abastecimento de Água, Coleta de Esgoto</v>
          </cell>
        </row>
        <row r="142">
          <cell r="A142" t="str">
            <v>Construção e Manutenção de Estações e Redes de Distribuição de Energia Elétrica</v>
          </cell>
        </row>
        <row r="143">
          <cell r="A143" t="str">
            <v>Obras Portuárias, Marítimas e Fluviais</v>
          </cell>
        </row>
        <row r="144">
          <cell r="A144" t="str">
            <v>Fornecimento de Materiais e Equipamentos (aquisição indireta - em conjunto com licitação de obras)</v>
          </cell>
        </row>
        <row r="145">
          <cell r="A145" t="str">
            <v>Fornecimento de Materiais e Equipamentos (aquisição direta)</v>
          </cell>
        </row>
        <row r="146">
          <cell r="A146" t="str">
            <v>Estudos e Projetos, Planos e Gerenciamento e outros correlatos</v>
          </cell>
        </row>
      </sheetData>
      <sheetData sheetId="4">
        <row r="2">
          <cell r="E2" t="str">
            <v>Meta</v>
          </cell>
          <cell r="F2" t="str">
            <v>Nível 2</v>
          </cell>
          <cell r="G2" t="str">
            <v>Nível 3</v>
          </cell>
          <cell r="H2" t="str">
            <v>Nível 4</v>
          </cell>
          <cell r="I2" t="str">
            <v>Serviço</v>
          </cell>
        </row>
        <row r="3">
          <cell r="E3" t="str">
            <v>SINAPI</v>
          </cell>
          <cell r="F3" t="str">
            <v>SINAPI-I</v>
          </cell>
          <cell r="G3" t="str">
            <v>SICRO</v>
          </cell>
          <cell r="H3" t="str">
            <v>Composição</v>
          </cell>
          <cell r="I3" t="str">
            <v>Cotação</v>
          </cell>
        </row>
        <row r="4">
          <cell r="F4" t="str">
            <v>BDI 1</v>
          </cell>
          <cell r="G4" t="str">
            <v>BDI 2</v>
          </cell>
          <cell r="H4" t="str">
            <v>BDI 3</v>
          </cell>
          <cell r="I4">
            <v>0</v>
          </cell>
        </row>
        <row r="7">
          <cell r="F7" t="str">
            <v>RA</v>
          </cell>
          <cell r="G7" t="str">
            <v>RP</v>
          </cell>
          <cell r="H7" t="str">
            <v>CP</v>
          </cell>
          <cell r="I7" t="str">
            <v>OU</v>
          </cell>
        </row>
        <row r="8">
          <cell r="F8" t="str">
            <v>'[Referência 01-2026.xlsm]Banco'!$a5:$a$65536</v>
          </cell>
          <cell r="AF8" t="b">
            <v>1</v>
          </cell>
        </row>
        <row r="10">
          <cell r="AF10" t="b">
            <v>1</v>
          </cell>
        </row>
        <row r="11">
          <cell r="AF11" t="b">
            <v>1</v>
          </cell>
        </row>
        <row r="15">
          <cell r="M15" t="str">
            <v>LOTE</v>
          </cell>
          <cell r="X15">
            <v>4324820.1200000029</v>
          </cell>
          <cell r="Z15" t="str">
            <v/>
          </cell>
          <cell r="AA15">
            <v>724881.59000000043</v>
          </cell>
          <cell r="AB15">
            <v>0</v>
          </cell>
        </row>
        <row r="16">
          <cell r="X16">
            <v>4324820.12</v>
          </cell>
          <cell r="Z16" t="str">
            <v/>
          </cell>
          <cell r="AA16">
            <v>724881.59000000043</v>
          </cell>
          <cell r="AB16">
            <v>0</v>
          </cell>
        </row>
        <row r="17">
          <cell r="X17">
            <v>569618.55000000005</v>
          </cell>
          <cell r="Z17" t="str">
            <v/>
          </cell>
          <cell r="AA17">
            <v>95473.566243373542</v>
          </cell>
          <cell r="AB17">
            <v>0</v>
          </cell>
        </row>
        <row r="18">
          <cell r="X18">
            <v>569618.55000000005</v>
          </cell>
          <cell r="Z18" t="str">
            <v>RA</v>
          </cell>
          <cell r="AA18">
            <v>95473.566243373542</v>
          </cell>
          <cell r="AB18">
            <v>0</v>
          </cell>
        </row>
        <row r="19">
          <cell r="X19">
            <v>107427.3</v>
          </cell>
          <cell r="Z19" t="str">
            <v/>
          </cell>
          <cell r="AA19">
            <v>18005.852237250281</v>
          </cell>
          <cell r="AB19">
            <v>0</v>
          </cell>
        </row>
        <row r="20">
          <cell r="X20">
            <v>3749.98</v>
          </cell>
          <cell r="Z20" t="str">
            <v>RA</v>
          </cell>
          <cell r="AA20">
            <v>628.53283823240281</v>
          </cell>
          <cell r="AB20">
            <v>0</v>
          </cell>
        </row>
        <row r="21">
          <cell r="X21">
            <v>40260.400000000001</v>
          </cell>
          <cell r="Z21" t="str">
            <v>RA</v>
          </cell>
          <cell r="AA21">
            <v>6748.0315842676046</v>
          </cell>
          <cell r="AB21">
            <v>0</v>
          </cell>
        </row>
        <row r="22">
          <cell r="X22">
            <v>2606.2800000000002</v>
          </cell>
          <cell r="Z22" t="str">
            <v>RA</v>
          </cell>
          <cell r="AA22">
            <v>436.83768063518926</v>
          </cell>
          <cell r="AB22">
            <v>0</v>
          </cell>
        </row>
        <row r="23">
          <cell r="X23">
            <v>3748.04</v>
          </cell>
          <cell r="Z23" t="str">
            <v>RA</v>
          </cell>
          <cell r="AA23">
            <v>628.20767550988944</v>
          </cell>
          <cell r="AB23">
            <v>0</v>
          </cell>
        </row>
        <row r="24">
          <cell r="X24">
            <v>17910.2</v>
          </cell>
          <cell r="Z24" t="str">
            <v>RA</v>
          </cell>
          <cell r="AA24">
            <v>3001.9223674019545</v>
          </cell>
          <cell r="AB24">
            <v>0</v>
          </cell>
        </row>
        <row r="25">
          <cell r="X25">
            <v>12936.24</v>
          </cell>
          <cell r="Z25" t="str">
            <v>RA</v>
          </cell>
          <cell r="AA25">
            <v>2168.2386688077108</v>
          </cell>
          <cell r="AB25">
            <v>0</v>
          </cell>
        </row>
        <row r="26">
          <cell r="X26">
            <v>10529.92</v>
          </cell>
          <cell r="Z26" t="str">
            <v>RA</v>
          </cell>
          <cell r="AA26">
            <v>1764.9162139425125</v>
          </cell>
          <cell r="AB26">
            <v>0</v>
          </cell>
        </row>
        <row r="27">
          <cell r="X27">
            <v>15686.24</v>
          </cell>
          <cell r="Z27" t="str">
            <v>RA</v>
          </cell>
          <cell r="AA27">
            <v>2629.1652084530174</v>
          </cell>
          <cell r="AB27">
            <v>0</v>
          </cell>
        </row>
        <row r="28">
          <cell r="X28">
            <v>112497.9</v>
          </cell>
          <cell r="Z28" t="str">
            <v/>
          </cell>
          <cell r="AA28">
            <v>18855.733732495915</v>
          </cell>
          <cell r="AB28">
            <v>0</v>
          </cell>
        </row>
        <row r="29">
          <cell r="X29">
            <v>1548</v>
          </cell>
          <cell r="Z29" t="str">
            <v>RA</v>
          </cell>
          <cell r="AA29">
            <v>259.45973940761274</v>
          </cell>
          <cell r="AB29">
            <v>0</v>
          </cell>
        </row>
        <row r="30">
          <cell r="X30">
            <v>35622</v>
          </cell>
          <cell r="Z30" t="str">
            <v>RA</v>
          </cell>
          <cell r="AA30">
            <v>5970.590980089135</v>
          </cell>
          <cell r="AB30">
            <v>0</v>
          </cell>
        </row>
        <row r="31">
          <cell r="X31">
            <v>19373.939999999999</v>
          </cell>
          <cell r="Z31" t="str">
            <v>RA</v>
          </cell>
          <cell r="AA31">
            <v>3247.259317634835</v>
          </cell>
          <cell r="AB31">
            <v>0</v>
          </cell>
        </row>
        <row r="32">
          <cell r="X32">
            <v>12189.45</v>
          </cell>
          <cell r="Z32" t="str">
            <v>RA</v>
          </cell>
          <cell r="AA32">
            <v>2043.0694577016313</v>
          </cell>
          <cell r="AB32">
            <v>0</v>
          </cell>
        </row>
        <row r="33">
          <cell r="X33">
            <v>8774.59</v>
          </cell>
          <cell r="Z33" t="str">
            <v>RA</v>
          </cell>
          <cell r="AA33">
            <v>1470.7059656386593</v>
          </cell>
          <cell r="AB33">
            <v>0</v>
          </cell>
        </row>
        <row r="34">
          <cell r="X34">
            <v>18525.7</v>
          </cell>
          <cell r="Z34" t="str">
            <v>RA</v>
          </cell>
          <cell r="AA34">
            <v>3105.0861074571135</v>
          </cell>
          <cell r="AB34">
            <v>0</v>
          </cell>
        </row>
        <row r="35">
          <cell r="X35">
            <v>16464.22</v>
          </cell>
          <cell r="Z35" t="str">
            <v>RA</v>
          </cell>
          <cell r="AA35">
            <v>2759.5621645669289</v>
          </cell>
          <cell r="AB35">
            <v>0</v>
          </cell>
        </row>
        <row r="36">
          <cell r="X36">
            <v>156849.74</v>
          </cell>
          <cell r="Z36" t="str">
            <v/>
          </cell>
          <cell r="AA36">
            <v>26289.530146351295</v>
          </cell>
          <cell r="AB36">
            <v>0</v>
          </cell>
        </row>
        <row r="37">
          <cell r="X37">
            <v>54751.360000000001</v>
          </cell>
          <cell r="Z37" t="str">
            <v/>
          </cell>
          <cell r="AA37">
            <v>9176.8563293361713</v>
          </cell>
          <cell r="AB37">
            <v>0</v>
          </cell>
        </row>
        <row r="38">
          <cell r="X38">
            <v>47019.3</v>
          </cell>
          <cell r="Z38" t="str">
            <v>RA</v>
          </cell>
          <cell r="AA38">
            <v>7880.888452925301</v>
          </cell>
          <cell r="AB38">
            <v>0</v>
          </cell>
        </row>
        <row r="39">
          <cell r="X39">
            <v>1403.34</v>
          </cell>
          <cell r="Z39" t="str">
            <v>RA</v>
          </cell>
          <cell r="AA39">
            <v>235.21332732576178</v>
          </cell>
          <cell r="AB39">
            <v>0</v>
          </cell>
        </row>
        <row r="40">
          <cell r="X40">
            <v>6249.8</v>
          </cell>
          <cell r="Z40" t="str">
            <v>RA</v>
          </cell>
          <cell r="AA40">
            <v>1047.5267954455414</v>
          </cell>
          <cell r="AB40">
            <v>0</v>
          </cell>
        </row>
        <row r="41">
          <cell r="X41">
            <v>78.92</v>
          </cell>
          <cell r="Z41" t="str">
            <v>RA</v>
          </cell>
          <cell r="AA41">
            <v>13.227753639566407</v>
          </cell>
          <cell r="AB41">
            <v>0</v>
          </cell>
        </row>
        <row r="42">
          <cell r="X42">
            <v>8070.73</v>
          </cell>
          <cell r="Z42" t="str">
            <v/>
          </cell>
          <cell r="AA42">
            <v>1352.7322368405701</v>
          </cell>
          <cell r="AB42">
            <v>0</v>
          </cell>
        </row>
        <row r="43">
          <cell r="X43">
            <v>167.8</v>
          </cell>
          <cell r="Z43" t="str">
            <v>RA</v>
          </cell>
          <cell r="AA43">
            <v>28.124899400902727</v>
          </cell>
          <cell r="AB43">
            <v>0</v>
          </cell>
        </row>
        <row r="44">
          <cell r="X44">
            <v>415.58</v>
          </cell>
          <cell r="Z44" t="str">
            <v>RA</v>
          </cell>
          <cell r="AA44">
            <v>69.655218671198767</v>
          </cell>
          <cell r="AB44">
            <v>0</v>
          </cell>
        </row>
        <row r="45">
          <cell r="X45">
            <v>2950.52</v>
          </cell>
          <cell r="Z45" t="str">
            <v>RA</v>
          </cell>
          <cell r="AA45">
            <v>494.53562681973483</v>
          </cell>
          <cell r="AB45">
            <v>0</v>
          </cell>
        </row>
        <row r="46">
          <cell r="X46">
            <v>1119.05</v>
          </cell>
          <cell r="Z46" t="str">
            <v>RA</v>
          </cell>
          <cell r="AA46">
            <v>187.56357970548387</v>
          </cell>
          <cell r="AB46">
            <v>0</v>
          </cell>
        </row>
        <row r="47">
          <cell r="X47">
            <v>889.79</v>
          </cell>
          <cell r="Z47" t="str">
            <v>RA</v>
          </cell>
          <cell r="AA47">
            <v>149.13739116763549</v>
          </cell>
          <cell r="AB47">
            <v>0</v>
          </cell>
        </row>
        <row r="48">
          <cell r="X48">
            <v>332.11</v>
          </cell>
          <cell r="Z48" t="str">
            <v>RA</v>
          </cell>
          <cell r="AA48">
            <v>55.664841120582864</v>
          </cell>
          <cell r="AB48">
            <v>0</v>
          </cell>
        </row>
        <row r="49">
          <cell r="X49">
            <v>2195.88</v>
          </cell>
          <cell r="Z49" t="str">
            <v>RA</v>
          </cell>
          <cell r="AA49">
            <v>368.05067995503146</v>
          </cell>
          <cell r="AB49">
            <v>0</v>
          </cell>
        </row>
        <row r="50">
          <cell r="X50">
            <v>94027.65</v>
          </cell>
          <cell r="Z50" t="str">
            <v/>
          </cell>
          <cell r="AA50">
            <v>15759.94158017456</v>
          </cell>
          <cell r="AB50">
            <v>0</v>
          </cell>
        </row>
        <row r="51">
          <cell r="X51">
            <v>3771.14</v>
          </cell>
          <cell r="Z51" t="str">
            <v>RA</v>
          </cell>
          <cell r="AA51">
            <v>632.07945844290998</v>
          </cell>
          <cell r="AB51">
            <v>0</v>
          </cell>
        </row>
        <row r="52">
          <cell r="X52">
            <v>14127.19</v>
          </cell>
          <cell r="Z52" t="str">
            <v>RA</v>
          </cell>
          <cell r="AA52">
            <v>2367.8533824042847</v>
          </cell>
          <cell r="AB52">
            <v>0</v>
          </cell>
        </row>
        <row r="53">
          <cell r="X53">
            <v>22504.99</v>
          </cell>
          <cell r="Z53" t="str">
            <v>RA</v>
          </cell>
          <cell r="AA53">
            <v>3772.0535147099035</v>
          </cell>
          <cell r="AB53">
            <v>0</v>
          </cell>
        </row>
        <row r="54">
          <cell r="X54">
            <v>6927.19</v>
          </cell>
          <cell r="Z54" t="str">
            <v>RA</v>
          </cell>
          <cell r="AA54">
            <v>1161.0638967874811</v>
          </cell>
          <cell r="AB54">
            <v>0</v>
          </cell>
        </row>
        <row r="55">
          <cell r="X55">
            <v>7860.14</v>
          </cell>
          <cell r="Z55" t="str">
            <v>RA</v>
          </cell>
          <cell r="AA55">
            <v>1317.4353204827864</v>
          </cell>
          <cell r="AB55">
            <v>0</v>
          </cell>
        </row>
        <row r="56">
          <cell r="X56">
            <v>695.52</v>
          </cell>
          <cell r="Z56" t="str">
            <v>RA</v>
          </cell>
          <cell r="AA56">
            <v>116.57586431058321</v>
          </cell>
          <cell r="AB56">
            <v>0</v>
          </cell>
        </row>
        <row r="57">
          <cell r="X57">
            <v>1793.97</v>
          </cell>
          <cell r="Z57" t="str">
            <v>RA</v>
          </cell>
          <cell r="AA57">
            <v>300.68668520999677</v>
          </cell>
          <cell r="AB57">
            <v>0</v>
          </cell>
        </row>
        <row r="58">
          <cell r="X58">
            <v>3002.02</v>
          </cell>
          <cell r="Z58" t="str">
            <v>RA</v>
          </cell>
          <cell r="AA58">
            <v>503.16752383491058</v>
          </cell>
          <cell r="AB58">
            <v>0</v>
          </cell>
        </row>
        <row r="59">
          <cell r="X59">
            <v>5276.02</v>
          </cell>
          <cell r="Z59" t="str">
            <v>RA</v>
          </cell>
          <cell r="AA59">
            <v>884.31186970888439</v>
          </cell>
          <cell r="AB59">
            <v>0</v>
          </cell>
        </row>
        <row r="60">
          <cell r="X60">
            <v>28069.47</v>
          </cell>
          <cell r="Z60" t="str">
            <v>RA</v>
          </cell>
          <cell r="AA60">
            <v>4704.714064282819</v>
          </cell>
          <cell r="AB60">
            <v>0</v>
          </cell>
        </row>
        <row r="61">
          <cell r="X61">
            <v>562776.43999999994</v>
          </cell>
          <cell r="Z61" t="str">
            <v/>
          </cell>
          <cell r="AA61">
            <v>94326.762575674409</v>
          </cell>
          <cell r="AB61">
            <v>0</v>
          </cell>
        </row>
        <row r="62">
          <cell r="X62">
            <v>134265.38</v>
          </cell>
          <cell r="Z62" t="str">
            <v/>
          </cell>
          <cell r="AA62">
            <v>22504.173453658976</v>
          </cell>
          <cell r="AB62">
            <v>0</v>
          </cell>
        </row>
        <row r="63">
          <cell r="X63">
            <v>7840.91</v>
          </cell>
          <cell r="Z63" t="str">
            <v>RA</v>
          </cell>
          <cell r="AA63">
            <v>1314.2121868982847</v>
          </cell>
          <cell r="AB63">
            <v>0</v>
          </cell>
        </row>
        <row r="64">
          <cell r="X64">
            <v>29381.26</v>
          </cell>
          <cell r="Z64" t="str">
            <v>RA</v>
          </cell>
          <cell r="AA64">
            <v>4924.5827280796611</v>
          </cell>
          <cell r="AB64">
            <v>0</v>
          </cell>
        </row>
        <row r="65">
          <cell r="X65">
            <v>27816.25</v>
          </cell>
          <cell r="Z65" t="str">
            <v>RA</v>
          </cell>
          <cell r="AA65">
            <v>4662.2719485122789</v>
          </cell>
          <cell r="AB65">
            <v>0</v>
          </cell>
        </row>
        <row r="66">
          <cell r="X66">
            <v>4480.21</v>
          </cell>
          <cell r="Z66" t="str">
            <v>RA</v>
          </cell>
          <cell r="AA66">
            <v>750.92643352156369</v>
          </cell>
          <cell r="AB66">
            <v>0</v>
          </cell>
        </row>
        <row r="67">
          <cell r="X67">
            <v>7981.8</v>
          </cell>
          <cell r="Z67" t="str">
            <v>RA</v>
          </cell>
          <cell r="AA67">
            <v>1337.8267105966947</v>
          </cell>
          <cell r="AB67">
            <v>0</v>
          </cell>
        </row>
        <row r="68">
          <cell r="X68">
            <v>13812.55</v>
          </cell>
          <cell r="Z68" t="str">
            <v>RA</v>
          </cell>
          <cell r="AA68">
            <v>2315.1166818828301</v>
          </cell>
          <cell r="AB68">
            <v>0</v>
          </cell>
        </row>
        <row r="69">
          <cell r="X69">
            <v>11035.65</v>
          </cell>
          <cell r="Z69" t="str">
            <v>RA</v>
          </cell>
          <cell r="AA69">
            <v>1849.6814426315384</v>
          </cell>
          <cell r="AB69">
            <v>0</v>
          </cell>
        </row>
        <row r="70">
          <cell r="X70">
            <v>31916.75</v>
          </cell>
          <cell r="Z70" t="str">
            <v>RA</v>
          </cell>
          <cell r="AA70">
            <v>5349.555321536126</v>
          </cell>
          <cell r="AB70">
            <v>0</v>
          </cell>
        </row>
        <row r="71">
          <cell r="X71">
            <v>69233.66</v>
          </cell>
          <cell r="Z71" t="str">
            <v/>
          </cell>
          <cell r="AA71">
            <v>11604.22957482898</v>
          </cell>
          <cell r="AB71">
            <v>0</v>
          </cell>
        </row>
        <row r="72">
          <cell r="X72">
            <v>28040.28</v>
          </cell>
          <cell r="Z72" t="str">
            <v>RA</v>
          </cell>
          <cell r="AA72">
            <v>4699.821538576547</v>
          </cell>
          <cell r="AB72">
            <v>0</v>
          </cell>
        </row>
        <row r="73">
          <cell r="X73">
            <v>15292.24</v>
          </cell>
          <cell r="Z73" t="str">
            <v>RA</v>
          </cell>
          <cell r="AA73">
            <v>2563.1270060456536</v>
          </cell>
          <cell r="AB73">
            <v>0</v>
          </cell>
        </row>
        <row r="74">
          <cell r="X74">
            <v>157.97</v>
          </cell>
          <cell r="Z74" t="str">
            <v>RA</v>
          </cell>
          <cell r="AA74">
            <v>26.477296533734226</v>
          </cell>
          <cell r="AB74">
            <v>0</v>
          </cell>
        </row>
        <row r="75">
          <cell r="X75">
            <v>8371.44</v>
          </cell>
          <cell r="Z75" t="str">
            <v>RA</v>
          </cell>
          <cell r="AA75">
            <v>1403.1341349266575</v>
          </cell>
          <cell r="AB75">
            <v>0</v>
          </cell>
        </row>
        <row r="76">
          <cell r="X76">
            <v>17371.73</v>
          </cell>
          <cell r="Z76" t="str">
            <v>RA</v>
          </cell>
          <cell r="AA76">
            <v>2911.6695987463877</v>
          </cell>
          <cell r="AB76">
            <v>0</v>
          </cell>
        </row>
        <row r="77">
          <cell r="X77">
            <v>128567.55</v>
          </cell>
          <cell r="Z77" t="str">
            <v/>
          </cell>
          <cell r="AA77">
            <v>21549.162157154533</v>
          </cell>
          <cell r="AB77">
            <v>0</v>
          </cell>
        </row>
        <row r="78">
          <cell r="X78">
            <v>59999.77</v>
          </cell>
          <cell r="Z78" t="str">
            <v>RA</v>
          </cell>
          <cell r="AA78">
            <v>10056.540496587015</v>
          </cell>
          <cell r="AB78">
            <v>0</v>
          </cell>
        </row>
        <row r="79">
          <cell r="X79">
            <v>16158.55</v>
          </cell>
          <cell r="Z79" t="str">
            <v>RA</v>
          </cell>
          <cell r="AA79">
            <v>2708.3289226129718</v>
          </cell>
          <cell r="AB79">
            <v>0</v>
          </cell>
        </row>
        <row r="80">
          <cell r="X80">
            <v>4446.6099999999997</v>
          </cell>
          <cell r="Z80" t="str">
            <v>RA</v>
          </cell>
          <cell r="AA80">
            <v>745.29474925535192</v>
          </cell>
          <cell r="AB80">
            <v>0</v>
          </cell>
        </row>
        <row r="81">
          <cell r="X81">
            <v>1675.04</v>
          </cell>
          <cell r="Z81" t="str">
            <v>RA</v>
          </cell>
          <cell r="AA81">
            <v>280.75286944271812</v>
          </cell>
          <cell r="AB81">
            <v>0</v>
          </cell>
        </row>
        <row r="82">
          <cell r="X82">
            <v>10153.08</v>
          </cell>
          <cell r="Z82" t="str">
            <v>RA</v>
          </cell>
          <cell r="AA82">
            <v>1701.7541931425353</v>
          </cell>
          <cell r="AB82">
            <v>0</v>
          </cell>
        </row>
        <row r="83">
          <cell r="X83">
            <v>36134.5</v>
          </cell>
          <cell r="Z83" t="str">
            <v>RA</v>
          </cell>
          <cell r="AA83">
            <v>6056.4909261139419</v>
          </cell>
          <cell r="AB83">
            <v>0</v>
          </cell>
        </row>
        <row r="84">
          <cell r="X84">
            <v>6055.58</v>
          </cell>
          <cell r="Z84" t="str">
            <v/>
          </cell>
          <cell r="AA84">
            <v>1014.9736490710281</v>
          </cell>
          <cell r="AB84">
            <v>0</v>
          </cell>
        </row>
        <row r="85">
          <cell r="X85">
            <v>3337.91</v>
          </cell>
          <cell r="Z85" t="str">
            <v/>
          </cell>
          <cell r="AA85">
            <v>559.46592943544226</v>
          </cell>
          <cell r="AB85">
            <v>0</v>
          </cell>
        </row>
        <row r="86">
          <cell r="X86">
            <v>60.31</v>
          </cell>
          <cell r="Z86" t="str">
            <v>RA</v>
          </cell>
          <cell r="AA86">
            <v>10.108538038548531</v>
          </cell>
          <cell r="AB86">
            <v>0</v>
          </cell>
        </row>
        <row r="87">
          <cell r="X87">
            <v>288.64</v>
          </cell>
          <cell r="Z87" t="str">
            <v>RA</v>
          </cell>
          <cell r="AA87">
            <v>48.378849601171403</v>
          </cell>
          <cell r="AB87">
            <v>0</v>
          </cell>
        </row>
        <row r="88">
          <cell r="X88">
            <v>43.21</v>
          </cell>
          <cell r="Z88" t="str">
            <v>RA</v>
          </cell>
          <cell r="AA88">
            <v>7.2424130102086215</v>
          </cell>
          <cell r="AB88">
            <v>0</v>
          </cell>
        </row>
        <row r="89">
          <cell r="X89">
            <v>949.54</v>
          </cell>
          <cell r="Z89" t="str">
            <v>RA</v>
          </cell>
          <cell r="AA89">
            <v>159.15206780174714</v>
          </cell>
          <cell r="AB89">
            <v>0</v>
          </cell>
        </row>
        <row r="90">
          <cell r="X90">
            <v>295.98</v>
          </cell>
          <cell r="Z90" t="str">
            <v>RA</v>
          </cell>
          <cell r="AA90">
            <v>49.609104437897429</v>
          </cell>
          <cell r="AB90">
            <v>0</v>
          </cell>
        </row>
        <row r="91">
          <cell r="X91">
            <v>1461.48</v>
          </cell>
          <cell r="Z91" t="str">
            <v>RA</v>
          </cell>
          <cell r="AA91">
            <v>244.95815242211748</v>
          </cell>
          <cell r="AB91">
            <v>0</v>
          </cell>
        </row>
        <row r="92">
          <cell r="X92">
            <v>238.75</v>
          </cell>
          <cell r="Z92" t="str">
            <v>RA</v>
          </cell>
          <cell r="AA92">
            <v>40.016804123751641</v>
          </cell>
          <cell r="AB92">
            <v>0</v>
          </cell>
        </row>
        <row r="93">
          <cell r="X93">
            <v>2717.67</v>
          </cell>
          <cell r="Z93" t="str">
            <v/>
          </cell>
          <cell r="AA93">
            <v>455.50771963558583</v>
          </cell>
          <cell r="AB93">
            <v>0</v>
          </cell>
        </row>
        <row r="94">
          <cell r="X94">
            <v>762.81</v>
          </cell>
          <cell r="Z94" t="str">
            <v>RA</v>
          </cell>
          <cell r="AA94">
            <v>127.85431771157691</v>
          </cell>
          <cell r="AB94">
            <v>0</v>
          </cell>
        </row>
        <row r="95">
          <cell r="X95">
            <v>13.32</v>
          </cell>
          <cell r="Z95" t="str">
            <v>RA</v>
          </cell>
          <cell r="AA95">
            <v>2.2325605483910862</v>
          </cell>
          <cell r="AB95">
            <v>0</v>
          </cell>
        </row>
        <row r="96">
          <cell r="X96">
            <v>186</v>
          </cell>
          <cell r="Z96" t="str">
            <v>RA</v>
          </cell>
          <cell r="AA96">
            <v>31.175395045100753</v>
          </cell>
          <cell r="AB96">
            <v>0</v>
          </cell>
        </row>
        <row r="97">
          <cell r="X97">
            <v>421.96</v>
          </cell>
          <cell r="Z97" t="str">
            <v>RA</v>
          </cell>
          <cell r="AA97">
            <v>70.724568243175881</v>
          </cell>
          <cell r="AB97">
            <v>0</v>
          </cell>
        </row>
        <row r="98">
          <cell r="X98">
            <v>1333.58</v>
          </cell>
          <cell r="Z98" t="str">
            <v>RA</v>
          </cell>
          <cell r="AA98">
            <v>223.5208780873412</v>
          </cell>
          <cell r="AB98">
            <v>0</v>
          </cell>
        </row>
        <row r="99">
          <cell r="X99">
            <v>224654.27</v>
          </cell>
          <cell r="Z99" t="str">
            <v/>
          </cell>
          <cell r="AA99">
            <v>37654.223740960901</v>
          </cell>
          <cell r="AB99">
            <v>0</v>
          </cell>
        </row>
        <row r="100">
          <cell r="X100">
            <v>204127.81</v>
          </cell>
          <cell r="Z100" t="str">
            <v>RA</v>
          </cell>
          <cell r="AA100">
            <v>34213.79094860897</v>
          </cell>
          <cell r="AB100">
            <v>0</v>
          </cell>
        </row>
        <row r="101">
          <cell r="X101">
            <v>13353.47</v>
          </cell>
          <cell r="Z101" t="str">
            <v>RA</v>
          </cell>
          <cell r="AA101">
            <v>2238.1704434026965</v>
          </cell>
          <cell r="AB101">
            <v>0</v>
          </cell>
        </row>
        <row r="102">
          <cell r="X102">
            <v>3612.9</v>
          </cell>
          <cell r="Z102" t="str">
            <v>RA</v>
          </cell>
          <cell r="AA102">
            <v>605.55690730346521</v>
          </cell>
          <cell r="AB102">
            <v>0</v>
          </cell>
        </row>
        <row r="103">
          <cell r="X103">
            <v>3560.09</v>
          </cell>
          <cell r="Z103" t="str">
            <v>RA</v>
          </cell>
          <cell r="AA103">
            <v>596.70544164576745</v>
          </cell>
          <cell r="AB103">
            <v>0</v>
          </cell>
        </row>
        <row r="104">
          <cell r="X104">
            <v>125312.74</v>
          </cell>
          <cell r="Z104" t="str">
            <v/>
          </cell>
          <cell r="AA104">
            <v>21003.62458969892</v>
          </cell>
          <cell r="AB104">
            <v>0</v>
          </cell>
        </row>
        <row r="105">
          <cell r="X105">
            <v>1641.41</v>
          </cell>
          <cell r="Z105" t="str">
            <v/>
          </cell>
          <cell r="AA105">
            <v>275.11615688698299</v>
          </cell>
          <cell r="AB105">
            <v>0</v>
          </cell>
        </row>
        <row r="106">
          <cell r="X106">
            <v>1641.41</v>
          </cell>
          <cell r="Z106" t="str">
            <v>RA</v>
          </cell>
          <cell r="AA106">
            <v>275.11615688698299</v>
          </cell>
          <cell r="AB106">
            <v>0</v>
          </cell>
        </row>
        <row r="107">
          <cell r="X107">
            <v>103206.31</v>
          </cell>
          <cell r="Z107" t="str">
            <v/>
          </cell>
          <cell r="AA107">
            <v>17298.373577403938</v>
          </cell>
          <cell r="AB107">
            <v>0</v>
          </cell>
        </row>
        <row r="108">
          <cell r="X108">
            <v>57796.49</v>
          </cell>
          <cell r="Z108" t="str">
            <v>RA</v>
          </cell>
          <cell r="AA108">
            <v>9687.2495052162103</v>
          </cell>
          <cell r="AB108">
            <v>0</v>
          </cell>
        </row>
        <row r="109">
          <cell r="X109">
            <v>36226.92</v>
          </cell>
          <cell r="Z109" t="str">
            <v>RA</v>
          </cell>
          <cell r="AA109">
            <v>6071.9814100390395</v>
          </cell>
          <cell r="AB109">
            <v>0</v>
          </cell>
        </row>
        <row r="110">
          <cell r="X110">
            <v>1452.62</v>
          </cell>
          <cell r="Z110" t="str">
            <v>RA</v>
          </cell>
          <cell r="AA110">
            <v>243.47313091620566</v>
          </cell>
          <cell r="AB110">
            <v>0</v>
          </cell>
        </row>
        <row r="111">
          <cell r="X111">
            <v>1719.27</v>
          </cell>
          <cell r="Z111" t="str">
            <v>RA</v>
          </cell>
          <cell r="AA111">
            <v>288.16624429672243</v>
          </cell>
          <cell r="AB111">
            <v>0</v>
          </cell>
        </row>
        <row r="112">
          <cell r="X112">
            <v>6011.01</v>
          </cell>
          <cell r="Z112" t="str">
            <v>RA</v>
          </cell>
          <cell r="AA112">
            <v>1007.5032869357585</v>
          </cell>
          <cell r="AB112">
            <v>0</v>
          </cell>
        </row>
        <row r="113">
          <cell r="X113">
            <v>7237.48</v>
          </cell>
          <cell r="Z113" t="str">
            <v/>
          </cell>
          <cell r="AA113">
            <v>1213.0714953280419</v>
          </cell>
          <cell r="AB113">
            <v>0</v>
          </cell>
        </row>
        <row r="114">
          <cell r="X114">
            <v>2422.25</v>
          </cell>
          <cell r="Z114" t="str">
            <v>RA</v>
          </cell>
          <cell r="AA114">
            <v>405.99247660212529</v>
          </cell>
          <cell r="AB114">
            <v>0</v>
          </cell>
        </row>
        <row r="115">
          <cell r="X115">
            <v>82.26</v>
          </cell>
          <cell r="Z115" t="str">
            <v>RA</v>
          </cell>
          <cell r="AA115">
            <v>13.78756987317198</v>
          </cell>
          <cell r="AB115">
            <v>0</v>
          </cell>
        </row>
        <row r="116">
          <cell r="X116">
            <v>2524.91</v>
          </cell>
          <cell r="Z116" t="str">
            <v>RA</v>
          </cell>
          <cell r="AA116">
            <v>423.19928335121153</v>
          </cell>
          <cell r="AB116">
            <v>0</v>
          </cell>
        </row>
        <row r="117">
          <cell r="X117">
            <v>2208.06</v>
          </cell>
          <cell r="Z117" t="str">
            <v>RA</v>
          </cell>
          <cell r="AA117">
            <v>370.0921655015332</v>
          </cell>
          <cell r="AB117">
            <v>0</v>
          </cell>
        </row>
        <row r="118">
          <cell r="X118">
            <v>13227.54</v>
          </cell>
          <cell r="Z118" t="str">
            <v/>
          </cell>
          <cell r="AA118">
            <v>2217.063360079957</v>
          </cell>
          <cell r="AB118">
            <v>0</v>
          </cell>
        </row>
        <row r="119">
          <cell r="X119">
            <v>10363.59</v>
          </cell>
          <cell r="Z119" t="str">
            <v>RA</v>
          </cell>
          <cell r="AA119">
            <v>1737.0377007282566</v>
          </cell>
          <cell r="AB119">
            <v>0</v>
          </cell>
        </row>
        <row r="120">
          <cell r="X120">
            <v>2863.95</v>
          </cell>
          <cell r="Z120" t="str">
            <v>RA</v>
          </cell>
          <cell r="AA120">
            <v>480.02565935170054</v>
          </cell>
          <cell r="AB120">
            <v>0</v>
          </cell>
        </row>
        <row r="121">
          <cell r="X121">
            <v>408389.18</v>
          </cell>
          <cell r="Z121" t="str">
            <v/>
          </cell>
          <cell r="AA121">
            <v>68449.96784217612</v>
          </cell>
          <cell r="AB121">
            <v>0</v>
          </cell>
        </row>
        <row r="122">
          <cell r="X122">
            <v>46064.59</v>
          </cell>
          <cell r="Z122" t="str">
            <v/>
          </cell>
          <cell r="AA122">
            <v>7720.8698432290203</v>
          </cell>
          <cell r="AB122">
            <v>0</v>
          </cell>
        </row>
        <row r="123">
          <cell r="X123">
            <v>17070.84</v>
          </cell>
          <cell r="Z123" t="str">
            <v>RA</v>
          </cell>
          <cell r="AA123">
            <v>2861.2375309231602</v>
          </cell>
          <cell r="AB123">
            <v>0</v>
          </cell>
        </row>
        <row r="124">
          <cell r="X124">
            <v>7230.24</v>
          </cell>
          <cell r="Z124" t="str">
            <v>RA</v>
          </cell>
          <cell r="AA124">
            <v>1211.858001456394</v>
          </cell>
          <cell r="AB124">
            <v>0</v>
          </cell>
        </row>
        <row r="125">
          <cell r="X125">
            <v>5690.28</v>
          </cell>
          <cell r="Z125" t="str">
            <v>RA</v>
          </cell>
          <cell r="AA125">
            <v>953.74584364105328</v>
          </cell>
          <cell r="AB125">
            <v>0</v>
          </cell>
        </row>
        <row r="126">
          <cell r="X126">
            <v>12050.4</v>
          </cell>
          <cell r="Z126" t="str">
            <v>RA</v>
          </cell>
          <cell r="AA126">
            <v>2019.7633357606567</v>
          </cell>
          <cell r="AB126">
            <v>0</v>
          </cell>
        </row>
        <row r="127">
          <cell r="X127">
            <v>3772.88</v>
          </cell>
          <cell r="Z127" t="str">
            <v>RA</v>
          </cell>
          <cell r="AA127">
            <v>632.37109923526737</v>
          </cell>
          <cell r="AB127">
            <v>0</v>
          </cell>
        </row>
        <row r="128">
          <cell r="X128">
            <v>249.95</v>
          </cell>
          <cell r="Z128" t="str">
            <v>RA</v>
          </cell>
          <cell r="AA128">
            <v>41.894032212488888</v>
          </cell>
          <cell r="AB128">
            <v>0</v>
          </cell>
        </row>
        <row r="129">
          <cell r="X129">
            <v>8029.6</v>
          </cell>
          <cell r="Z129" t="str">
            <v/>
          </cell>
          <cell r="AA129">
            <v>1345.8384519039839</v>
          </cell>
          <cell r="AB129">
            <v>0</v>
          </cell>
        </row>
        <row r="130">
          <cell r="X130">
            <v>778.08</v>
          </cell>
          <cell r="Z130" t="str">
            <v>RA</v>
          </cell>
          <cell r="AA130">
            <v>130.41371707898924</v>
          </cell>
          <cell r="AB130">
            <v>0</v>
          </cell>
        </row>
        <row r="131">
          <cell r="X131">
            <v>1520.49</v>
          </cell>
          <cell r="Z131" t="str">
            <v>RA</v>
          </cell>
          <cell r="AA131">
            <v>254.84879791465187</v>
          </cell>
          <cell r="AB131">
            <v>0</v>
          </cell>
        </row>
        <row r="132">
          <cell r="X132">
            <v>2934.23</v>
          </cell>
          <cell r="Z132" t="str">
            <v>RA</v>
          </cell>
          <cell r="AA132">
            <v>491.80526560852684</v>
          </cell>
          <cell r="AB132">
            <v>0</v>
          </cell>
        </row>
        <row r="133">
          <cell r="X133">
            <v>2796.8</v>
          </cell>
          <cell r="Z133" t="str">
            <v>RA</v>
          </cell>
          <cell r="AA133">
            <v>468.77067130181609</v>
          </cell>
          <cell r="AB133">
            <v>0</v>
          </cell>
        </row>
        <row r="134">
          <cell r="X134">
            <v>83512.59</v>
          </cell>
          <cell r="Z134" t="str">
            <v/>
          </cell>
          <cell r="AA134">
            <v>13997.51604564264</v>
          </cell>
          <cell r="AB134">
            <v>0</v>
          </cell>
        </row>
        <row r="135">
          <cell r="X135">
            <v>1462.01</v>
          </cell>
          <cell r="Z135" t="str">
            <v>RA</v>
          </cell>
          <cell r="AA135">
            <v>245.04698553703093</v>
          </cell>
          <cell r="AB135">
            <v>0</v>
          </cell>
        </row>
        <row r="136">
          <cell r="X136">
            <v>3740.52</v>
          </cell>
          <cell r="Z136" t="str">
            <v>RA</v>
          </cell>
          <cell r="AA136">
            <v>626.94725093602301</v>
          </cell>
          <cell r="AB136">
            <v>0</v>
          </cell>
        </row>
        <row r="137">
          <cell r="X137">
            <v>3740.52</v>
          </cell>
          <cell r="Z137" t="str">
            <v>RA</v>
          </cell>
          <cell r="AA137">
            <v>626.94725093602301</v>
          </cell>
          <cell r="AB137">
            <v>0</v>
          </cell>
        </row>
        <row r="138">
          <cell r="X138">
            <v>68324.210000000006</v>
          </cell>
          <cell r="Z138" t="str">
            <v>RA</v>
          </cell>
          <cell r="AA138">
            <v>11451.79697792701</v>
          </cell>
          <cell r="AB138">
            <v>0</v>
          </cell>
        </row>
        <row r="139">
          <cell r="X139">
            <v>6245.33</v>
          </cell>
          <cell r="Z139" t="str">
            <v>RA</v>
          </cell>
          <cell r="AA139">
            <v>1046.7775803065542</v>
          </cell>
          <cell r="AB139">
            <v>0</v>
          </cell>
        </row>
        <row r="140">
          <cell r="X140">
            <v>67343.990000000005</v>
          </cell>
          <cell r="Z140" t="str">
            <v/>
          </cell>
          <cell r="AA140">
            <v>11287.502646039327</v>
          </cell>
          <cell r="AB140">
            <v>0</v>
          </cell>
        </row>
        <row r="141">
          <cell r="X141">
            <v>902.08</v>
          </cell>
          <cell r="Z141" t="str">
            <v>RA</v>
          </cell>
          <cell r="AA141">
            <v>151.19731377572307</v>
          </cell>
          <cell r="AB141">
            <v>0</v>
          </cell>
        </row>
        <row r="142">
          <cell r="X142">
            <v>2203.94</v>
          </cell>
          <cell r="Z142" t="str">
            <v>RA</v>
          </cell>
          <cell r="AA142">
            <v>369.40161374031914</v>
          </cell>
          <cell r="AB142">
            <v>0</v>
          </cell>
        </row>
        <row r="143">
          <cell r="X143">
            <v>2798.5</v>
          </cell>
          <cell r="Z143" t="str">
            <v>RA</v>
          </cell>
          <cell r="AA143">
            <v>469.05560770814225</v>
          </cell>
          <cell r="AB143">
            <v>0</v>
          </cell>
        </row>
        <row r="144">
          <cell r="X144">
            <v>2860.9</v>
          </cell>
          <cell r="Z144" t="str">
            <v>RA</v>
          </cell>
          <cell r="AA144">
            <v>479.51444991682126</v>
          </cell>
          <cell r="AB144">
            <v>0</v>
          </cell>
        </row>
        <row r="145">
          <cell r="X145">
            <v>1076.3399999999999</v>
          </cell>
          <cell r="Z145" t="str">
            <v>RA</v>
          </cell>
          <cell r="AA145">
            <v>180.4049715206653</v>
          </cell>
          <cell r="AB145">
            <v>0</v>
          </cell>
        </row>
        <row r="146">
          <cell r="X146">
            <v>9687.1</v>
          </cell>
          <cell r="Z146" t="str">
            <v>RA</v>
          </cell>
          <cell r="AA146">
            <v>1623.6514480720191</v>
          </cell>
          <cell r="AB146">
            <v>0</v>
          </cell>
        </row>
        <row r="147">
          <cell r="X147">
            <v>8610.76</v>
          </cell>
          <cell r="Z147" t="str">
            <v>RA</v>
          </cell>
          <cell r="AA147">
            <v>1443.2464765513537</v>
          </cell>
          <cell r="AB147">
            <v>0</v>
          </cell>
        </row>
        <row r="148">
          <cell r="X148">
            <v>6458.07</v>
          </cell>
          <cell r="Z148" t="str">
            <v>RA</v>
          </cell>
          <cell r="AA148">
            <v>1082.4348574135151</v>
          </cell>
          <cell r="AB148">
            <v>0</v>
          </cell>
        </row>
        <row r="149">
          <cell r="X149">
            <v>1619.64</v>
          </cell>
          <cell r="Z149" t="str">
            <v>RA</v>
          </cell>
          <cell r="AA149">
            <v>271.46729478949993</v>
          </cell>
          <cell r="AB149">
            <v>0</v>
          </cell>
        </row>
        <row r="150">
          <cell r="X150">
            <v>5186.96</v>
          </cell>
          <cell r="Z150" t="str">
            <v>RA</v>
          </cell>
          <cell r="AA150">
            <v>869.3845542104076</v>
          </cell>
          <cell r="AB150">
            <v>0</v>
          </cell>
        </row>
        <row r="151">
          <cell r="X151">
            <v>4305.38</v>
          </cell>
          <cell r="Z151" t="str">
            <v>RA</v>
          </cell>
          <cell r="AA151">
            <v>721.62323827567684</v>
          </cell>
          <cell r="AB151">
            <v>0</v>
          </cell>
        </row>
        <row r="152">
          <cell r="X152">
            <v>17221.509999999998</v>
          </cell>
          <cell r="Z152" t="str">
            <v>RA</v>
          </cell>
          <cell r="AA152">
            <v>2886.4912770061992</v>
          </cell>
          <cell r="AB152">
            <v>0</v>
          </cell>
        </row>
        <row r="153">
          <cell r="X153">
            <v>85.97</v>
          </cell>
          <cell r="Z153" t="str">
            <v>RA</v>
          </cell>
          <cell r="AA153">
            <v>14.409401677566192</v>
          </cell>
          <cell r="AB153">
            <v>0</v>
          </cell>
        </row>
        <row r="154">
          <cell r="X154">
            <v>171.94</v>
          </cell>
          <cell r="Z154" t="str">
            <v>RA</v>
          </cell>
          <cell r="AA154">
            <v>28.818803355132385</v>
          </cell>
          <cell r="AB154">
            <v>0</v>
          </cell>
        </row>
        <row r="155">
          <cell r="X155">
            <v>4154.8999999999996</v>
          </cell>
          <cell r="Z155" t="str">
            <v>RA</v>
          </cell>
          <cell r="AA155">
            <v>696.40133802628554</v>
          </cell>
          <cell r="AB155">
            <v>0</v>
          </cell>
        </row>
        <row r="156">
          <cell r="X156">
            <v>9764.6299999999992</v>
          </cell>
          <cell r="Z156" t="str">
            <v/>
          </cell>
          <cell r="AA156">
            <v>1636.6462242970008</v>
          </cell>
          <cell r="AB156">
            <v>0</v>
          </cell>
        </row>
        <row r="157">
          <cell r="X157">
            <v>9764.6299999999992</v>
          </cell>
          <cell r="Z157" t="str">
            <v>RA</v>
          </cell>
          <cell r="AA157">
            <v>1636.6462242970008</v>
          </cell>
          <cell r="AB157">
            <v>0</v>
          </cell>
        </row>
        <row r="158">
          <cell r="X158">
            <v>193673.78</v>
          </cell>
          <cell r="Z158" t="str">
            <v/>
          </cell>
          <cell r="AA158">
            <v>32461.594631064156</v>
          </cell>
          <cell r="AB158">
            <v>0</v>
          </cell>
        </row>
        <row r="159">
          <cell r="X159">
            <v>3405.59</v>
          </cell>
          <cell r="Z159" t="str">
            <v>RA</v>
          </cell>
          <cell r="AA159">
            <v>570.80975060024025</v>
          </cell>
          <cell r="AB159">
            <v>0</v>
          </cell>
        </row>
        <row r="160">
          <cell r="X160">
            <v>3249.52</v>
          </cell>
          <cell r="Z160" t="str">
            <v>RA</v>
          </cell>
          <cell r="AA160">
            <v>544.65091240298818</v>
          </cell>
          <cell r="AB160">
            <v>0</v>
          </cell>
        </row>
        <row r="161">
          <cell r="X161">
            <v>79193.31</v>
          </cell>
          <cell r="Z161" t="str">
            <v>RA</v>
          </cell>
          <cell r="AA161">
            <v>13273.563033221119</v>
          </cell>
          <cell r="AB161">
            <v>0</v>
          </cell>
        </row>
        <row r="162">
          <cell r="X162">
            <v>22490.14</v>
          </cell>
          <cell r="Z162" t="str">
            <v>RA</v>
          </cell>
          <cell r="AA162">
            <v>3769.5645113958185</v>
          </cell>
          <cell r="AB162">
            <v>0</v>
          </cell>
        </row>
        <row r="163">
          <cell r="X163">
            <v>26880.57</v>
          </cell>
          <cell r="Z163" t="str">
            <v>RA</v>
          </cell>
          <cell r="AA163">
            <v>4505.4429504703439</v>
          </cell>
          <cell r="AB163">
            <v>0</v>
          </cell>
        </row>
        <row r="164">
          <cell r="X164">
            <v>25812.1</v>
          </cell>
          <cell r="Z164" t="str">
            <v>RA</v>
          </cell>
          <cell r="AA164">
            <v>4326.3570669013179</v>
          </cell>
          <cell r="AB164">
            <v>0</v>
          </cell>
        </row>
        <row r="165">
          <cell r="X165">
            <v>11363.47</v>
          </cell>
          <cell r="Z165" t="str">
            <v>RA</v>
          </cell>
          <cell r="AA165">
            <v>1904.6272383502744</v>
          </cell>
          <cell r="AB165">
            <v>0</v>
          </cell>
        </row>
        <row r="166">
          <cell r="X166">
            <v>8189.89</v>
          </cell>
          <cell r="Z166" t="str">
            <v>RA</v>
          </cell>
          <cell r="AA166">
            <v>1372.7046028275281</v>
          </cell>
          <cell r="AB166">
            <v>0</v>
          </cell>
        </row>
        <row r="167">
          <cell r="X167">
            <v>3509.95</v>
          </cell>
          <cell r="Z167" t="str">
            <v>RA</v>
          </cell>
          <cell r="AA167">
            <v>588.30149375565259</v>
          </cell>
          <cell r="AB167">
            <v>0</v>
          </cell>
        </row>
        <row r="168">
          <cell r="X168">
            <v>9579.24</v>
          </cell>
          <cell r="Z168" t="str">
            <v>RA</v>
          </cell>
          <cell r="AA168">
            <v>1605.573071138876</v>
          </cell>
          <cell r="AB168">
            <v>0</v>
          </cell>
        </row>
        <row r="169">
          <cell r="X169">
            <v>251482.04</v>
          </cell>
          <cell r="Z169" t="str">
            <v/>
          </cell>
          <cell r="AA169">
            <v>42150.816901870057</v>
          </cell>
          <cell r="AB169">
            <v>0</v>
          </cell>
        </row>
        <row r="170">
          <cell r="X170">
            <v>194216.18</v>
          </cell>
          <cell r="Z170" t="str">
            <v>RA</v>
          </cell>
          <cell r="AA170">
            <v>32552.506105647291</v>
          </cell>
          <cell r="AB170">
            <v>0</v>
          </cell>
        </row>
        <row r="171">
          <cell r="X171">
            <v>2245.12</v>
          </cell>
          <cell r="Z171" t="str">
            <v>RA</v>
          </cell>
          <cell r="AA171">
            <v>376.3037791594441</v>
          </cell>
          <cell r="AB171">
            <v>0</v>
          </cell>
        </row>
        <row r="172">
          <cell r="X172">
            <v>20606.46</v>
          </cell>
          <cell r="Z172" t="str">
            <v>RA</v>
          </cell>
          <cell r="AA172">
            <v>3453.8415644143379</v>
          </cell>
          <cell r="AB172">
            <v>0</v>
          </cell>
        </row>
        <row r="173">
          <cell r="X173">
            <v>1466.68</v>
          </cell>
          <cell r="Z173" t="str">
            <v>RA</v>
          </cell>
          <cell r="AA173">
            <v>245.82972260617407</v>
          </cell>
          <cell r="AB173">
            <v>0</v>
          </cell>
        </row>
        <row r="174">
          <cell r="X174">
            <v>22488.95</v>
          </cell>
          <cell r="Z174" t="str">
            <v>RA</v>
          </cell>
          <cell r="AA174">
            <v>3769.3650559113908</v>
          </cell>
          <cell r="AB174">
            <v>0</v>
          </cell>
        </row>
        <row r="175">
          <cell r="X175">
            <v>10458.65</v>
          </cell>
          <cell r="Z175" t="str">
            <v>RA</v>
          </cell>
          <cell r="AA175">
            <v>1752.9706741314139</v>
          </cell>
          <cell r="AB175">
            <v>0</v>
          </cell>
        </row>
        <row r="176">
          <cell r="X176">
            <v>36537.550000000003</v>
          </cell>
          <cell r="Z176" t="str">
            <v/>
          </cell>
          <cell r="AA176">
            <v>6124.0459958608653</v>
          </cell>
          <cell r="AB176">
            <v>0</v>
          </cell>
        </row>
        <row r="177">
          <cell r="X177">
            <v>25775.77</v>
          </cell>
          <cell r="Z177" t="str">
            <v>RA</v>
          </cell>
          <cell r="AA177">
            <v>4320.2678082884768</v>
          </cell>
          <cell r="AB177">
            <v>0</v>
          </cell>
        </row>
        <row r="178">
          <cell r="X178">
            <v>812.81</v>
          </cell>
          <cell r="Z178" t="str">
            <v>RA</v>
          </cell>
          <cell r="AA178">
            <v>136.23480025058248</v>
          </cell>
          <cell r="AB178">
            <v>0</v>
          </cell>
        </row>
        <row r="179">
          <cell r="X179">
            <v>6864.99</v>
          </cell>
          <cell r="Z179" t="str">
            <v>RA</v>
          </cell>
          <cell r="AA179">
            <v>1150.6385765089583</v>
          </cell>
          <cell r="AB179">
            <v>0</v>
          </cell>
        </row>
        <row r="180">
          <cell r="X180">
            <v>2066.58</v>
          </cell>
          <cell r="Z180" t="str">
            <v>RA</v>
          </cell>
          <cell r="AA180">
            <v>346.37875210916297</v>
          </cell>
          <cell r="AB180">
            <v>0</v>
          </cell>
        </row>
        <row r="181">
          <cell r="X181">
            <v>1017.4</v>
          </cell>
          <cell r="Z181" t="str">
            <v>RA</v>
          </cell>
          <cell r="AA181">
            <v>170.52605870368552</v>
          </cell>
          <cell r="AB181">
            <v>0</v>
          </cell>
        </row>
        <row r="182">
          <cell r="X182">
            <v>329765.58</v>
          </cell>
          <cell r="Z182" t="str">
            <v/>
          </cell>
          <cell r="AA182">
            <v>55271.893703100941</v>
          </cell>
          <cell r="AB182">
            <v>0</v>
          </cell>
        </row>
        <row r="183">
          <cell r="X183">
            <v>329765.58</v>
          </cell>
          <cell r="Z183" t="str">
            <v/>
          </cell>
          <cell r="AA183">
            <v>55271.893703100941</v>
          </cell>
          <cell r="AB183">
            <v>0</v>
          </cell>
        </row>
        <row r="184">
          <cell r="X184">
            <v>12897.62</v>
          </cell>
          <cell r="Z184" t="str">
            <v>RA</v>
          </cell>
          <cell r="AA184">
            <v>2161.7655840945831</v>
          </cell>
          <cell r="AB184">
            <v>0</v>
          </cell>
        </row>
        <row r="185">
          <cell r="X185">
            <v>8905.1299999999992</v>
          </cell>
          <cell r="Z185" t="str">
            <v>RA</v>
          </cell>
          <cell r="AA185">
            <v>1492.5857294514949</v>
          </cell>
          <cell r="AB185">
            <v>0</v>
          </cell>
        </row>
        <row r="186">
          <cell r="X186">
            <v>86913.16</v>
          </cell>
          <cell r="Z186" t="str">
            <v>RA</v>
          </cell>
          <cell r="AA186">
            <v>14567.484395795964</v>
          </cell>
          <cell r="AB186">
            <v>0</v>
          </cell>
        </row>
        <row r="187">
          <cell r="X187">
            <v>44763.41</v>
          </cell>
          <cell r="Z187" t="str">
            <v>RA</v>
          </cell>
          <cell r="AA187">
            <v>7502.7795178269553</v>
          </cell>
          <cell r="AB187">
            <v>0</v>
          </cell>
        </row>
        <row r="188">
          <cell r="X188">
            <v>36392.32</v>
          </cell>
          <cell r="Z188" t="str">
            <v>RA</v>
          </cell>
          <cell r="AA188">
            <v>6099.7040462780706</v>
          </cell>
          <cell r="AB188">
            <v>0</v>
          </cell>
        </row>
        <row r="189">
          <cell r="X189">
            <v>38338.660000000003</v>
          </cell>
          <cell r="Z189" t="str">
            <v>RA</v>
          </cell>
          <cell r="AA189">
            <v>6425.9294139774338</v>
          </cell>
          <cell r="AB189">
            <v>0</v>
          </cell>
        </row>
        <row r="190">
          <cell r="X190">
            <v>5972.27</v>
          </cell>
          <cell r="Z190" t="str">
            <v>RA</v>
          </cell>
          <cell r="AA190">
            <v>1001.0100890645371</v>
          </cell>
          <cell r="AB190">
            <v>0</v>
          </cell>
        </row>
        <row r="191">
          <cell r="X191">
            <v>435.24</v>
          </cell>
          <cell r="Z191" t="str">
            <v>RA</v>
          </cell>
          <cell r="AA191">
            <v>72.95042440553577</v>
          </cell>
          <cell r="AB191">
            <v>0</v>
          </cell>
        </row>
        <row r="192">
          <cell r="X192">
            <v>624.78</v>
          </cell>
          <cell r="Z192" t="str">
            <v>RA</v>
          </cell>
          <cell r="AA192">
            <v>104.71915761439811</v>
          </cell>
          <cell r="AB192">
            <v>0</v>
          </cell>
        </row>
        <row r="193">
          <cell r="X193">
            <v>403.65</v>
          </cell>
          <cell r="Z193" t="str">
            <v>RA</v>
          </cell>
          <cell r="AA193">
            <v>67.655635537392044</v>
          </cell>
          <cell r="AB193">
            <v>0</v>
          </cell>
        </row>
        <row r="194">
          <cell r="X194">
            <v>5800.29</v>
          </cell>
          <cell r="Z194" t="str">
            <v>RA</v>
          </cell>
          <cell r="AA194">
            <v>972.18458132337344</v>
          </cell>
          <cell r="AB194">
            <v>0</v>
          </cell>
        </row>
        <row r="195">
          <cell r="X195">
            <v>1975.56</v>
          </cell>
          <cell r="Z195" t="str">
            <v>RA</v>
          </cell>
          <cell r="AA195">
            <v>331.12292169515723</v>
          </cell>
          <cell r="AB195">
            <v>0</v>
          </cell>
        </row>
        <row r="196">
          <cell r="X196">
            <v>44977.81</v>
          </cell>
          <cell r="Z196" t="str">
            <v>RA</v>
          </cell>
          <cell r="AA196">
            <v>7538.7150269542099</v>
          </cell>
          <cell r="AB196">
            <v>0</v>
          </cell>
        </row>
        <row r="197">
          <cell r="X197">
            <v>9641.2099999999991</v>
          </cell>
          <cell r="Z197" t="str">
            <v>RA</v>
          </cell>
          <cell r="AA197">
            <v>1615.9598411977195</v>
          </cell>
          <cell r="AB197">
            <v>0</v>
          </cell>
        </row>
        <row r="198">
          <cell r="X198">
            <v>31724.47</v>
          </cell>
          <cell r="Z198" t="str">
            <v>RA</v>
          </cell>
          <cell r="AA198">
            <v>5317.3273378841268</v>
          </cell>
          <cell r="AB198">
            <v>0</v>
          </cell>
        </row>
        <row r="199">
          <cell r="X199">
            <v>397163.67</v>
          </cell>
          <cell r="Z199" t="str">
            <v/>
          </cell>
          <cell r="AA199">
            <v>66568.464031247495</v>
          </cell>
          <cell r="AB199">
            <v>0</v>
          </cell>
        </row>
        <row r="200">
          <cell r="X200">
            <v>115770.96</v>
          </cell>
          <cell r="Z200" t="str">
            <v/>
          </cell>
          <cell r="AA200">
            <v>19404.330176078271</v>
          </cell>
          <cell r="AB200">
            <v>0</v>
          </cell>
        </row>
        <row r="201">
          <cell r="X201">
            <v>3852.13</v>
          </cell>
          <cell r="Z201" t="str">
            <v>RA</v>
          </cell>
          <cell r="AA201">
            <v>645.65416405959127</v>
          </cell>
          <cell r="AB201">
            <v>0</v>
          </cell>
        </row>
        <row r="202">
          <cell r="X202">
            <v>18378.830000000002</v>
          </cell>
          <cell r="Z202" t="str">
            <v>RA</v>
          </cell>
          <cell r="AA202">
            <v>3080.4692780470386</v>
          </cell>
          <cell r="AB202">
            <v>0</v>
          </cell>
        </row>
        <row r="203">
          <cell r="X203">
            <v>2759.74</v>
          </cell>
          <cell r="Z203" t="str">
            <v>RA</v>
          </cell>
          <cell r="AA203">
            <v>462.55905764390513</v>
          </cell>
          <cell r="AB203">
            <v>0</v>
          </cell>
        </row>
        <row r="204">
          <cell r="X204">
            <v>26184.02</v>
          </cell>
          <cell r="Z204" t="str">
            <v>RA</v>
          </cell>
          <cell r="AA204">
            <v>4388.6944482194576</v>
          </cell>
          <cell r="AB204">
            <v>0</v>
          </cell>
        </row>
        <row r="205">
          <cell r="X205">
            <v>64596.24</v>
          </cell>
          <cell r="Z205" t="str">
            <v>RA</v>
          </cell>
          <cell r="AA205">
            <v>10826.953228108276</v>
          </cell>
          <cell r="AB205">
            <v>0</v>
          </cell>
        </row>
        <row r="206">
          <cell r="X206">
            <v>199582.85</v>
          </cell>
          <cell r="Z206" t="str">
            <v/>
          </cell>
          <cell r="AA206">
            <v>33452.011790199394</v>
          </cell>
          <cell r="AB206">
            <v>0</v>
          </cell>
        </row>
        <row r="207">
          <cell r="X207">
            <v>16348.14</v>
          </cell>
          <cell r="Z207" t="str">
            <v>RA</v>
          </cell>
          <cell r="AA207">
            <v>2740.1060363043734</v>
          </cell>
          <cell r="AB207">
            <v>0</v>
          </cell>
        </row>
        <row r="208">
          <cell r="X208">
            <v>39816.769999999997</v>
          </cell>
          <cell r="Z208" t="str">
            <v>RA</v>
          </cell>
          <cell r="AA208">
            <v>6673.6749148920235</v>
          </cell>
          <cell r="AB208">
            <v>0</v>
          </cell>
        </row>
        <row r="209">
          <cell r="X209">
            <v>61734.91</v>
          </cell>
          <cell r="Z209" t="str">
            <v>RA</v>
          </cell>
          <cell r="AA209">
            <v>10347.366706041619</v>
          </cell>
          <cell r="AB209">
            <v>0</v>
          </cell>
        </row>
        <row r="210">
          <cell r="X210">
            <v>3664.53</v>
          </cell>
          <cell r="Z210" t="str">
            <v>RA</v>
          </cell>
          <cell r="AA210">
            <v>614.21059357324236</v>
          </cell>
          <cell r="AB210">
            <v>0</v>
          </cell>
        </row>
        <row r="211">
          <cell r="X211">
            <v>9547.25</v>
          </cell>
          <cell r="Z211" t="str">
            <v>RA</v>
          </cell>
          <cell r="AA211">
            <v>1600.2112384104203</v>
          </cell>
          <cell r="AB211">
            <v>0</v>
          </cell>
        </row>
        <row r="212">
          <cell r="X212">
            <v>1527.54</v>
          </cell>
          <cell r="Z212" t="str">
            <v>RA</v>
          </cell>
          <cell r="AA212">
            <v>256.03044595265163</v>
          </cell>
          <cell r="AB212">
            <v>0</v>
          </cell>
        </row>
        <row r="213">
          <cell r="X213">
            <v>5183.0600000000004</v>
          </cell>
          <cell r="Z213" t="str">
            <v>RA</v>
          </cell>
          <cell r="AA213">
            <v>868.73087657236522</v>
          </cell>
          <cell r="AB213">
            <v>0</v>
          </cell>
        </row>
        <row r="214">
          <cell r="X214">
            <v>14381.39</v>
          </cell>
          <cell r="Z214" t="str">
            <v>RA</v>
          </cell>
          <cell r="AA214">
            <v>2410.4597556325889</v>
          </cell>
          <cell r="AB214">
            <v>0</v>
          </cell>
        </row>
        <row r="215">
          <cell r="X215">
            <v>3503.36</v>
          </cell>
          <cell r="Z215" t="str">
            <v>RA</v>
          </cell>
          <cell r="AA215">
            <v>587.19694615701178</v>
          </cell>
          <cell r="AB215">
            <v>0</v>
          </cell>
        </row>
        <row r="216">
          <cell r="X216">
            <v>26802</v>
          </cell>
          <cell r="Z216" t="str">
            <v>RA</v>
          </cell>
          <cell r="AA216">
            <v>4492.273860208551</v>
          </cell>
          <cell r="AB216">
            <v>0</v>
          </cell>
        </row>
        <row r="217">
          <cell r="X217">
            <v>865.28</v>
          </cell>
          <cell r="Z217" t="str">
            <v>RA</v>
          </cell>
          <cell r="AA217">
            <v>145.02927862701495</v>
          </cell>
          <cell r="AB217">
            <v>0</v>
          </cell>
        </row>
        <row r="218">
          <cell r="X218">
            <v>7651.47</v>
          </cell>
          <cell r="Z218" t="str">
            <v>RA</v>
          </cell>
          <cell r="AA218">
            <v>1282.4602146545005</v>
          </cell>
          <cell r="AB218">
            <v>0</v>
          </cell>
        </row>
        <row r="219">
          <cell r="X219">
            <v>8557.15</v>
          </cell>
          <cell r="Z219" t="str">
            <v>RA</v>
          </cell>
          <cell r="AA219">
            <v>1434.2609231730319</v>
          </cell>
          <cell r="AB219">
            <v>0</v>
          </cell>
        </row>
        <row r="220">
          <cell r="X220">
            <v>25412.85</v>
          </cell>
          <cell r="Z220" t="str">
            <v/>
          </cell>
          <cell r="AA220">
            <v>4259.4389138273582</v>
          </cell>
          <cell r="AB220">
            <v>0</v>
          </cell>
        </row>
        <row r="221">
          <cell r="X221">
            <v>2869.96</v>
          </cell>
          <cell r="Z221" t="str">
            <v>RA</v>
          </cell>
          <cell r="AA221">
            <v>481.03299335288904</v>
          </cell>
          <cell r="AB221">
            <v>0</v>
          </cell>
        </row>
        <row r="222">
          <cell r="X222">
            <v>2763.9</v>
          </cell>
          <cell r="Z222" t="str">
            <v>RA</v>
          </cell>
          <cell r="AA222">
            <v>463.25631379115043</v>
          </cell>
          <cell r="AB222">
            <v>0</v>
          </cell>
        </row>
        <row r="223">
          <cell r="X223">
            <v>4930.8</v>
          </cell>
          <cell r="Z223" t="str">
            <v>RA</v>
          </cell>
          <cell r="AA223">
            <v>826.4496660665742</v>
          </cell>
          <cell r="AB223">
            <v>0</v>
          </cell>
        </row>
        <row r="224">
          <cell r="X224">
            <v>797.56</v>
          </cell>
          <cell r="Z224" t="str">
            <v>RA</v>
          </cell>
          <cell r="AA224">
            <v>133.67875307618579</v>
          </cell>
          <cell r="AB224">
            <v>0</v>
          </cell>
        </row>
        <row r="225">
          <cell r="X225">
            <v>2830.94</v>
          </cell>
          <cell r="Z225" t="str">
            <v>RA</v>
          </cell>
          <cell r="AA225">
            <v>474.49286477944912</v>
          </cell>
          <cell r="AB225">
            <v>0</v>
          </cell>
        </row>
        <row r="226">
          <cell r="X226">
            <v>10751.55</v>
          </cell>
          <cell r="Z226" t="str">
            <v>RA</v>
          </cell>
          <cell r="AA226">
            <v>1802.0635408449086</v>
          </cell>
          <cell r="AB226">
            <v>0</v>
          </cell>
        </row>
        <row r="227">
          <cell r="X227">
            <v>147.79</v>
          </cell>
          <cell r="Z227" t="str">
            <v>RA</v>
          </cell>
          <cell r="AA227">
            <v>24.771030288792691</v>
          </cell>
          <cell r="AB227">
            <v>0</v>
          </cell>
        </row>
        <row r="228">
          <cell r="X228">
            <v>320.35000000000002</v>
          </cell>
          <cell r="Z228" t="str">
            <v>RA</v>
          </cell>
          <cell r="AA228">
            <v>53.693751627408751</v>
          </cell>
          <cell r="AB228">
            <v>0</v>
          </cell>
        </row>
        <row r="229">
          <cell r="X229">
            <v>56397.01</v>
          </cell>
          <cell r="Z229" t="str">
            <v/>
          </cell>
          <cell r="AA229">
            <v>9452.6831511424607</v>
          </cell>
          <cell r="AB229">
            <v>0</v>
          </cell>
        </row>
        <row r="230">
          <cell r="X230">
            <v>1946.3</v>
          </cell>
          <cell r="Z230" t="str">
            <v>RA</v>
          </cell>
          <cell r="AA230">
            <v>326.21866331333115</v>
          </cell>
          <cell r="AB230">
            <v>0</v>
          </cell>
        </row>
        <row r="231">
          <cell r="X231">
            <v>8090.8</v>
          </cell>
          <cell r="Z231" t="str">
            <v>RA</v>
          </cell>
          <cell r="AA231">
            <v>1356.0961625317268</v>
          </cell>
          <cell r="AB231">
            <v>0</v>
          </cell>
        </row>
        <row r="232">
          <cell r="X232">
            <v>46359.91</v>
          </cell>
          <cell r="Z232" t="str">
            <v>RA</v>
          </cell>
          <cell r="AA232">
            <v>7770.3683252974033</v>
          </cell>
          <cell r="AB232">
            <v>0</v>
          </cell>
        </row>
        <row r="233">
          <cell r="X233">
            <v>132779.70000000001</v>
          </cell>
          <cell r="Z233" t="str">
            <v/>
          </cell>
          <cell r="AA233">
            <v>22255.159147687984</v>
          </cell>
          <cell r="AB233">
            <v>0</v>
          </cell>
        </row>
        <row r="234">
          <cell r="X234">
            <v>110057.81</v>
          </cell>
          <cell r="Z234" t="str">
            <v/>
          </cell>
          <cell r="AA234">
            <v>18446.751099723875</v>
          </cell>
          <cell r="AB234">
            <v>0</v>
          </cell>
        </row>
        <row r="235">
          <cell r="X235">
            <v>20477.259999999998</v>
          </cell>
          <cell r="Z235" t="str">
            <v>RA</v>
          </cell>
          <cell r="AA235">
            <v>3432.1863975335473</v>
          </cell>
          <cell r="AB235">
            <v>0</v>
          </cell>
        </row>
        <row r="236">
          <cell r="X236">
            <v>46311.82</v>
          </cell>
          <cell r="Z236" t="str">
            <v>RA</v>
          </cell>
          <cell r="AA236">
            <v>7762.3079771913872</v>
          </cell>
          <cell r="AB236">
            <v>0</v>
          </cell>
        </row>
        <row r="237">
          <cell r="X237">
            <v>27142.240000000002</v>
          </cell>
          <cell r="Z237" t="str">
            <v>RA</v>
          </cell>
          <cell r="AA237">
            <v>4549.3013677899762</v>
          </cell>
          <cell r="AB237">
            <v>0</v>
          </cell>
        </row>
        <row r="238">
          <cell r="X238">
            <v>282.67</v>
          </cell>
          <cell r="Z238" t="str">
            <v>RA</v>
          </cell>
          <cell r="AA238">
            <v>47.378219986014145</v>
          </cell>
          <cell r="AB238">
            <v>0</v>
          </cell>
        </row>
        <row r="239">
          <cell r="X239">
            <v>5974.99</v>
          </cell>
          <cell r="Z239" t="str">
            <v>RA</v>
          </cell>
          <cell r="AA239">
            <v>1001.4659873146588</v>
          </cell>
          <cell r="AB239">
            <v>0</v>
          </cell>
        </row>
        <row r="240">
          <cell r="X240">
            <v>1377.77</v>
          </cell>
          <cell r="Z240" t="str">
            <v>RA</v>
          </cell>
          <cell r="AA240">
            <v>230.92754855531433</v>
          </cell>
          <cell r="AB240">
            <v>0</v>
          </cell>
        </row>
        <row r="241">
          <cell r="X241">
            <v>4096.46</v>
          </cell>
          <cell r="Z241" t="str">
            <v>RA</v>
          </cell>
          <cell r="AA241">
            <v>686.60623003469595</v>
          </cell>
          <cell r="AB241">
            <v>0</v>
          </cell>
        </row>
        <row r="242">
          <cell r="X242">
            <v>4195.42</v>
          </cell>
          <cell r="Z242" t="str">
            <v>RA</v>
          </cell>
          <cell r="AA242">
            <v>703.1928810758958</v>
          </cell>
          <cell r="AB242">
            <v>0</v>
          </cell>
        </row>
        <row r="243">
          <cell r="X243">
            <v>199.18</v>
          </cell>
          <cell r="Z243" t="str">
            <v>RA</v>
          </cell>
          <cell r="AA243">
            <v>33.384490242382626</v>
          </cell>
          <cell r="AB243">
            <v>0</v>
          </cell>
        </row>
        <row r="244">
          <cell r="X244">
            <v>21783.16</v>
          </cell>
          <cell r="Z244" t="str">
            <v/>
          </cell>
          <cell r="AA244">
            <v>3651.0678404872956</v>
          </cell>
          <cell r="AB244">
            <v>0</v>
          </cell>
        </row>
        <row r="245">
          <cell r="X245">
            <v>12708.29</v>
          </cell>
          <cell r="Z245" t="str">
            <v>RA</v>
          </cell>
          <cell r="AA245">
            <v>2130.0320489123842</v>
          </cell>
          <cell r="AB245">
            <v>0</v>
          </cell>
        </row>
        <row r="246">
          <cell r="X246">
            <v>9074.8700000000008</v>
          </cell>
          <cell r="Z246" t="str">
            <v>RA</v>
          </cell>
          <cell r="AA246">
            <v>1521.0357915749114</v>
          </cell>
          <cell r="AB246">
            <v>0</v>
          </cell>
        </row>
        <row r="247">
          <cell r="X247">
            <v>938.73</v>
          </cell>
          <cell r="Z247" t="str">
            <v/>
          </cell>
          <cell r="AA247">
            <v>157.34020747681416</v>
          </cell>
          <cell r="AB247">
            <v>0</v>
          </cell>
        </row>
        <row r="248">
          <cell r="X248">
            <v>126.2</v>
          </cell>
          <cell r="Z248" t="str">
            <v>RA</v>
          </cell>
          <cell r="AA248">
            <v>21.152337928450084</v>
          </cell>
          <cell r="AB248">
            <v>0</v>
          </cell>
        </row>
        <row r="249">
          <cell r="X249">
            <v>279.2</v>
          </cell>
          <cell r="Z249" t="str">
            <v>RA</v>
          </cell>
          <cell r="AA249">
            <v>46.796614497807155</v>
          </cell>
          <cell r="AB249">
            <v>0</v>
          </cell>
        </row>
        <row r="250">
          <cell r="X250">
            <v>81.25</v>
          </cell>
          <cell r="Z250" t="str">
            <v>RA</v>
          </cell>
          <cell r="AA250">
            <v>13.618284125884067</v>
          </cell>
          <cell r="AB250">
            <v>0</v>
          </cell>
        </row>
        <row r="251">
          <cell r="X251">
            <v>106.32</v>
          </cell>
          <cell r="Z251" t="str">
            <v>RA</v>
          </cell>
          <cell r="AA251">
            <v>17.820258070941463</v>
          </cell>
          <cell r="AB251">
            <v>0</v>
          </cell>
        </row>
        <row r="252">
          <cell r="X252">
            <v>198.81</v>
          </cell>
          <cell r="Z252" t="str">
            <v>RA</v>
          </cell>
          <cell r="AA252">
            <v>33.322474671593987</v>
          </cell>
          <cell r="AB252">
            <v>0</v>
          </cell>
        </row>
        <row r="253">
          <cell r="X253">
            <v>146.94999999999999</v>
          </cell>
          <cell r="Z253" t="str">
            <v>RA</v>
          </cell>
          <cell r="AA253">
            <v>24.630238182137397</v>
          </cell>
          <cell r="AB253">
            <v>0</v>
          </cell>
        </row>
        <row r="254">
          <cell r="X254">
            <v>119770.15</v>
          </cell>
          <cell r="Z254" t="str">
            <v/>
          </cell>
          <cell r="AA254">
            <v>20074.633015381587</v>
          </cell>
          <cell r="AB254">
            <v>0</v>
          </cell>
        </row>
        <row r="255">
          <cell r="X255">
            <v>54269.79</v>
          </cell>
          <cell r="Z255" t="str">
            <v/>
          </cell>
          <cell r="AA255">
            <v>9096.1405498099939</v>
          </cell>
          <cell r="AB255">
            <v>0</v>
          </cell>
        </row>
        <row r="256">
          <cell r="X256">
            <v>9069.4</v>
          </cell>
          <cell r="Z256" t="str">
            <v>RA</v>
          </cell>
          <cell r="AA256">
            <v>1520.118966785144</v>
          </cell>
          <cell r="AB256">
            <v>0</v>
          </cell>
        </row>
        <row r="257">
          <cell r="X257">
            <v>73.489999999999995</v>
          </cell>
          <cell r="Z257" t="str">
            <v>RA</v>
          </cell>
          <cell r="AA257">
            <v>12.317633235830399</v>
          </cell>
          <cell r="AB257">
            <v>0</v>
          </cell>
        </row>
        <row r="258">
          <cell r="X258">
            <v>537.91999999999996</v>
          </cell>
          <cell r="Z258" t="str">
            <v>RA</v>
          </cell>
          <cell r="AA258">
            <v>90.160583347637612</v>
          </cell>
          <cell r="AB258">
            <v>0</v>
          </cell>
        </row>
        <row r="259">
          <cell r="X259">
            <v>1253.68</v>
          </cell>
          <cell r="Z259" t="str">
            <v>RA</v>
          </cell>
          <cell r="AA259">
            <v>210.12886699001029</v>
          </cell>
          <cell r="AB259">
            <v>0</v>
          </cell>
        </row>
        <row r="260">
          <cell r="X260">
            <v>1078.4000000000001</v>
          </cell>
          <cell r="Z260" t="str">
            <v>RA</v>
          </cell>
          <cell r="AA260">
            <v>180.75024740127236</v>
          </cell>
          <cell r="AB260">
            <v>0</v>
          </cell>
        </row>
        <row r="261">
          <cell r="X261">
            <v>21156.83</v>
          </cell>
          <cell r="Z261" t="str">
            <v>RA</v>
          </cell>
          <cell r="AA261">
            <v>3546.0888879141885</v>
          </cell>
          <cell r="AB261">
            <v>0</v>
          </cell>
        </row>
        <row r="262">
          <cell r="X262">
            <v>691.46</v>
          </cell>
          <cell r="Z262" t="str">
            <v>RA</v>
          </cell>
          <cell r="AA262">
            <v>115.89536912841596</v>
          </cell>
          <cell r="AB262">
            <v>0</v>
          </cell>
        </row>
        <row r="263">
          <cell r="X263">
            <v>538.78</v>
          </cell>
          <cell r="Z263" t="str">
            <v>RA</v>
          </cell>
          <cell r="AA263">
            <v>90.304727647308511</v>
          </cell>
          <cell r="AB263">
            <v>0</v>
          </cell>
        </row>
        <row r="264">
          <cell r="X264">
            <v>32.979999999999997</v>
          </cell>
          <cell r="Z264" t="str">
            <v>RA</v>
          </cell>
          <cell r="AA264">
            <v>5.5277662827280798</v>
          </cell>
          <cell r="AB264">
            <v>0</v>
          </cell>
        </row>
        <row r="265">
          <cell r="X265">
            <v>674.22</v>
          </cell>
          <cell r="Z265" t="str">
            <v>RA</v>
          </cell>
          <cell r="AA265">
            <v>113.00577874896683</v>
          </cell>
          <cell r="AB265">
            <v>0</v>
          </cell>
        </row>
        <row r="266">
          <cell r="X266">
            <v>958.24</v>
          </cell>
          <cell r="Z266" t="str">
            <v>RA</v>
          </cell>
          <cell r="AA266">
            <v>160.61027176353412</v>
          </cell>
          <cell r="AB266">
            <v>0</v>
          </cell>
        </row>
        <row r="267">
          <cell r="X267">
            <v>11.18</v>
          </cell>
          <cell r="Z267" t="str">
            <v>RA</v>
          </cell>
          <cell r="AA267">
            <v>1.8738758957216475</v>
          </cell>
          <cell r="AB267">
            <v>0</v>
          </cell>
        </row>
        <row r="268">
          <cell r="X268">
            <v>14.03</v>
          </cell>
          <cell r="Z268" t="str">
            <v>RA</v>
          </cell>
          <cell r="AA268">
            <v>2.3515634004449653</v>
          </cell>
          <cell r="AB268">
            <v>0</v>
          </cell>
        </row>
        <row r="269">
          <cell r="X269">
            <v>21.16</v>
          </cell>
          <cell r="Z269" t="str">
            <v>RA</v>
          </cell>
          <cell r="AA269">
            <v>3.5466202105071614</v>
          </cell>
          <cell r="AB269">
            <v>0</v>
          </cell>
        </row>
        <row r="270">
          <cell r="X270">
            <v>88.53</v>
          </cell>
          <cell r="Z270" t="str">
            <v>RA</v>
          </cell>
          <cell r="AA270">
            <v>14.838482383563278</v>
          </cell>
          <cell r="AB270">
            <v>0</v>
          </cell>
        </row>
        <row r="271">
          <cell r="X271">
            <v>219.1</v>
          </cell>
          <cell r="Z271" t="str">
            <v>RA</v>
          </cell>
          <cell r="AA271">
            <v>36.723274485922445</v>
          </cell>
          <cell r="AB271">
            <v>0</v>
          </cell>
        </row>
        <row r="272">
          <cell r="X272">
            <v>513.45000000000005</v>
          </cell>
          <cell r="Z272" t="str">
            <v>RA</v>
          </cell>
          <cell r="AA272">
            <v>86.059175193048304</v>
          </cell>
          <cell r="AB272">
            <v>0</v>
          </cell>
        </row>
        <row r="273">
          <cell r="X273">
            <v>895.65</v>
          </cell>
          <cell r="Z273" t="str">
            <v>RA</v>
          </cell>
          <cell r="AA273">
            <v>150.11958372120694</v>
          </cell>
          <cell r="AB273">
            <v>0</v>
          </cell>
        </row>
        <row r="274">
          <cell r="X274">
            <v>41.05</v>
          </cell>
          <cell r="Z274" t="str">
            <v>RA</v>
          </cell>
          <cell r="AA274">
            <v>6.8803761645235797</v>
          </cell>
          <cell r="AB274">
            <v>0</v>
          </cell>
        </row>
        <row r="275">
          <cell r="X275">
            <v>644.79999999999995</v>
          </cell>
          <cell r="Z275" t="str">
            <v>RA</v>
          </cell>
          <cell r="AA275">
            <v>108.07470282301594</v>
          </cell>
          <cell r="AB275">
            <v>0</v>
          </cell>
        </row>
        <row r="276">
          <cell r="X276">
            <v>1589.9</v>
          </cell>
          <cell r="Z276" t="str">
            <v>RA</v>
          </cell>
          <cell r="AA276">
            <v>266.48258377529942</v>
          </cell>
          <cell r="AB276">
            <v>0</v>
          </cell>
        </row>
        <row r="277">
          <cell r="X277">
            <v>50.56</v>
          </cell>
          <cell r="Z277" t="str">
            <v>RA</v>
          </cell>
          <cell r="AA277">
            <v>8.4743439434424417</v>
          </cell>
          <cell r="AB277">
            <v>0</v>
          </cell>
        </row>
        <row r="278">
          <cell r="X278">
            <v>363.78</v>
          </cell>
          <cell r="Z278" t="str">
            <v>RA</v>
          </cell>
          <cell r="AA278">
            <v>60.973038760788988</v>
          </cell>
          <cell r="AB278">
            <v>0</v>
          </cell>
        </row>
        <row r="279">
          <cell r="X279">
            <v>4727.84</v>
          </cell>
          <cell r="Z279" t="str">
            <v>RA</v>
          </cell>
          <cell r="AA279">
            <v>792.43161134424281</v>
          </cell>
          <cell r="AB279">
            <v>0</v>
          </cell>
        </row>
        <row r="280">
          <cell r="X280">
            <v>48.92</v>
          </cell>
          <cell r="Z280" t="str">
            <v>RA</v>
          </cell>
          <cell r="AA280">
            <v>8.1994641161630586</v>
          </cell>
          <cell r="AB280">
            <v>0</v>
          </cell>
        </row>
        <row r="281">
          <cell r="X281">
            <v>13.41</v>
          </cell>
          <cell r="Z281" t="str">
            <v>RA</v>
          </cell>
          <cell r="AA281">
            <v>2.2476454169612965</v>
          </cell>
          <cell r="AB281">
            <v>0</v>
          </cell>
        </row>
        <row r="282">
          <cell r="X282">
            <v>20.28</v>
          </cell>
          <cell r="Z282" t="str">
            <v>RA</v>
          </cell>
          <cell r="AA282">
            <v>3.3991237178206632</v>
          </cell>
          <cell r="AB282">
            <v>0</v>
          </cell>
        </row>
        <row r="283">
          <cell r="X283">
            <v>851.4</v>
          </cell>
          <cell r="Z283" t="str">
            <v>RA</v>
          </cell>
          <cell r="AA283">
            <v>142.70285667418699</v>
          </cell>
          <cell r="AB283">
            <v>0</v>
          </cell>
        </row>
        <row r="284">
          <cell r="X284">
            <v>769.16</v>
          </cell>
          <cell r="Z284" t="str">
            <v>RA</v>
          </cell>
          <cell r="AA284">
            <v>128.91863899403063</v>
          </cell>
          <cell r="AB284">
            <v>0</v>
          </cell>
        </row>
        <row r="285">
          <cell r="X285">
            <v>18.52</v>
          </cell>
          <cell r="Z285" t="str">
            <v>RA</v>
          </cell>
          <cell r="AA285">
            <v>3.1041307324476666</v>
          </cell>
          <cell r="AB285">
            <v>0</v>
          </cell>
        </row>
        <row r="286">
          <cell r="X286">
            <v>13.75</v>
          </cell>
          <cell r="Z286" t="str">
            <v>RA</v>
          </cell>
          <cell r="AA286">
            <v>2.3046326982265342</v>
          </cell>
          <cell r="AB286">
            <v>0</v>
          </cell>
        </row>
        <row r="287">
          <cell r="X287">
            <v>18.350000000000001</v>
          </cell>
          <cell r="Z287" t="str">
            <v>RA</v>
          </cell>
          <cell r="AA287">
            <v>3.075637091815048</v>
          </cell>
          <cell r="AB287">
            <v>0</v>
          </cell>
        </row>
        <row r="288">
          <cell r="X288">
            <v>43.4</v>
          </cell>
          <cell r="Z288" t="str">
            <v>RA</v>
          </cell>
          <cell r="AA288">
            <v>7.2742588438568427</v>
          </cell>
          <cell r="AB288">
            <v>0</v>
          </cell>
        </row>
        <row r="289">
          <cell r="X289">
            <v>830.25</v>
          </cell>
          <cell r="Z289" t="str">
            <v>RA</v>
          </cell>
          <cell r="AA289">
            <v>139.15791256018764</v>
          </cell>
          <cell r="AB289">
            <v>0</v>
          </cell>
        </row>
        <row r="290">
          <cell r="X290">
            <v>87.69</v>
          </cell>
          <cell r="Z290" t="str">
            <v>RA</v>
          </cell>
          <cell r="AA290">
            <v>14.697690276907984</v>
          </cell>
          <cell r="AB290">
            <v>0</v>
          </cell>
        </row>
        <row r="291">
          <cell r="X291">
            <v>644.48</v>
          </cell>
          <cell r="Z291" t="str">
            <v>RA</v>
          </cell>
          <cell r="AA291">
            <v>108.02106773476632</v>
          </cell>
          <cell r="AB291">
            <v>0</v>
          </cell>
        </row>
        <row r="292">
          <cell r="X292">
            <v>36.28</v>
          </cell>
          <cell r="Z292" t="str">
            <v>RA</v>
          </cell>
          <cell r="AA292">
            <v>6.0808781303024482</v>
          </cell>
          <cell r="AB292">
            <v>0</v>
          </cell>
        </row>
        <row r="293">
          <cell r="X293">
            <v>170.24</v>
          </cell>
          <cell r="Z293" t="str">
            <v>RA</v>
          </cell>
          <cell r="AA293">
            <v>28.5338669488062</v>
          </cell>
          <cell r="AB293">
            <v>0</v>
          </cell>
        </row>
        <row r="294">
          <cell r="X294">
            <v>560.32000000000005</v>
          </cell>
          <cell r="Z294" t="str">
            <v>RA</v>
          </cell>
          <cell r="AA294">
            <v>93.915039525112135</v>
          </cell>
          <cell r="AB294">
            <v>0</v>
          </cell>
        </row>
        <row r="295">
          <cell r="X295">
            <v>3260.46</v>
          </cell>
          <cell r="Z295" t="str">
            <v>RA</v>
          </cell>
          <cell r="AA295">
            <v>546.48456198252268</v>
          </cell>
          <cell r="AB295">
            <v>0</v>
          </cell>
        </row>
        <row r="296">
          <cell r="X296">
            <v>434.52</v>
          </cell>
          <cell r="Z296" t="str">
            <v>RA</v>
          </cell>
          <cell r="AA296">
            <v>72.829745456974081</v>
          </cell>
          <cell r="AB296">
            <v>0</v>
          </cell>
        </row>
        <row r="297">
          <cell r="X297">
            <v>1080.24</v>
          </cell>
          <cell r="Z297" t="str">
            <v>RA</v>
          </cell>
          <cell r="AA297">
            <v>181.05864915870774</v>
          </cell>
          <cell r="AB297">
            <v>0</v>
          </cell>
        </row>
        <row r="298">
          <cell r="X298">
            <v>89.51</v>
          </cell>
          <cell r="Z298" t="str">
            <v>RA</v>
          </cell>
          <cell r="AA298">
            <v>15.00273984132779</v>
          </cell>
          <cell r="AB298">
            <v>0</v>
          </cell>
        </row>
        <row r="299">
          <cell r="X299">
            <v>32.18</v>
          </cell>
          <cell r="Z299" t="str">
            <v>RA</v>
          </cell>
          <cell r="AA299">
            <v>5.3936785621039904</v>
          </cell>
          <cell r="AB299">
            <v>0</v>
          </cell>
        </row>
        <row r="300">
          <cell r="X300">
            <v>20997.01</v>
          </cell>
          <cell r="Z300" t="str">
            <v/>
          </cell>
          <cell r="AA300">
            <v>3519.3015135265105</v>
          </cell>
          <cell r="AB300">
            <v>0</v>
          </cell>
        </row>
        <row r="301">
          <cell r="X301">
            <v>4614.8</v>
          </cell>
          <cell r="Z301" t="str">
            <v>RA</v>
          </cell>
          <cell r="AA301">
            <v>773.48501642005897</v>
          </cell>
          <cell r="AB301">
            <v>0</v>
          </cell>
        </row>
        <row r="302">
          <cell r="X302">
            <v>2716.5</v>
          </cell>
          <cell r="Z302" t="str">
            <v>RA</v>
          </cell>
          <cell r="AA302">
            <v>455.3116163441731</v>
          </cell>
          <cell r="AB302">
            <v>0</v>
          </cell>
        </row>
        <row r="303">
          <cell r="X303">
            <v>4446.8599999999997</v>
          </cell>
          <cell r="Z303" t="str">
            <v>RA</v>
          </cell>
          <cell r="AA303">
            <v>745.3366516680469</v>
          </cell>
          <cell r="AB303">
            <v>0</v>
          </cell>
        </row>
        <row r="304">
          <cell r="X304">
            <v>1164</v>
          </cell>
          <cell r="Z304" t="str">
            <v>RA</v>
          </cell>
          <cell r="AA304">
            <v>195.09763350804988</v>
          </cell>
          <cell r="AB304">
            <v>0</v>
          </cell>
        </row>
        <row r="305">
          <cell r="X305">
            <v>49.36</v>
          </cell>
          <cell r="Z305" t="str">
            <v>RA</v>
          </cell>
          <cell r="AA305">
            <v>8.2732123625063085</v>
          </cell>
          <cell r="AB305">
            <v>0</v>
          </cell>
        </row>
        <row r="306">
          <cell r="X306">
            <v>60.44</v>
          </cell>
          <cell r="Z306" t="str">
            <v>RA</v>
          </cell>
          <cell r="AA306">
            <v>10.130327293149945</v>
          </cell>
          <cell r="AB306">
            <v>0</v>
          </cell>
        </row>
        <row r="307">
          <cell r="X307">
            <v>135.85</v>
          </cell>
          <cell r="Z307" t="str">
            <v>RA</v>
          </cell>
          <cell r="AA307">
            <v>22.76977105847816</v>
          </cell>
          <cell r="AB307">
            <v>0</v>
          </cell>
        </row>
        <row r="308">
          <cell r="X308">
            <v>7809.2</v>
          </cell>
          <cell r="Z308" t="str">
            <v>RA</v>
          </cell>
          <cell r="AA308">
            <v>1308.8972848720473</v>
          </cell>
          <cell r="AB308">
            <v>0</v>
          </cell>
        </row>
        <row r="309">
          <cell r="X309">
            <v>44503.35</v>
          </cell>
          <cell r="Z309" t="str">
            <v/>
          </cell>
          <cell r="AA309">
            <v>7459.190952045079</v>
          </cell>
          <cell r="AB309">
            <v>0</v>
          </cell>
        </row>
        <row r="310">
          <cell r="X310">
            <v>44503.35</v>
          </cell>
          <cell r="Z310" t="str">
            <v>RA</v>
          </cell>
          <cell r="AA310">
            <v>7459.190952045079</v>
          </cell>
          <cell r="AB310">
            <v>0</v>
          </cell>
        </row>
        <row r="311">
          <cell r="X311">
            <v>38961</v>
          </cell>
          <cell r="Z311" t="str">
            <v/>
          </cell>
          <cell r="AA311">
            <v>6530.239604043928</v>
          </cell>
          <cell r="AB311">
            <v>0</v>
          </cell>
        </row>
        <row r="312">
          <cell r="X312">
            <v>23893.56</v>
          </cell>
          <cell r="Z312" t="str">
            <v/>
          </cell>
          <cell r="AA312">
            <v>4004.7912474936429</v>
          </cell>
          <cell r="AB312">
            <v>0</v>
          </cell>
        </row>
        <row r="313">
          <cell r="X313">
            <v>5148.6499999999996</v>
          </cell>
          <cell r="Z313" t="str">
            <v>RA</v>
          </cell>
          <cell r="AA313">
            <v>862.96342848902145</v>
          </cell>
          <cell r="AB313">
            <v>0</v>
          </cell>
        </row>
        <row r="314">
          <cell r="X314">
            <v>2330.33</v>
          </cell>
          <cell r="Z314" t="str">
            <v>RA</v>
          </cell>
          <cell r="AA314">
            <v>390.58579750241739</v>
          </cell>
          <cell r="AB314">
            <v>0</v>
          </cell>
        </row>
        <row r="315">
          <cell r="X315">
            <v>12984.35</v>
          </cell>
          <cell r="Z315" t="str">
            <v>RA</v>
          </cell>
          <cell r="AA315">
            <v>2176.3023691067419</v>
          </cell>
          <cell r="AB315">
            <v>0</v>
          </cell>
        </row>
        <row r="316">
          <cell r="X316">
            <v>1260</v>
          </cell>
          <cell r="Z316" t="str">
            <v>RA</v>
          </cell>
          <cell r="AA316">
            <v>211.18815998294059</v>
          </cell>
          <cell r="AB316">
            <v>0</v>
          </cell>
        </row>
        <row r="317">
          <cell r="X317">
            <v>196.18</v>
          </cell>
          <cell r="Z317" t="str">
            <v>RA</v>
          </cell>
          <cell r="AA317">
            <v>32.881661290042295</v>
          </cell>
          <cell r="AB317">
            <v>0</v>
          </cell>
        </row>
        <row r="318">
          <cell r="X318">
            <v>61.26</v>
          </cell>
          <cell r="Z318" t="str">
            <v>RA</v>
          </cell>
          <cell r="AA318">
            <v>10.267767206789635</v>
          </cell>
          <cell r="AB318">
            <v>0</v>
          </cell>
        </row>
        <row r="319">
          <cell r="X319">
            <v>85.69</v>
          </cell>
          <cell r="Z319" t="str">
            <v>RA</v>
          </cell>
          <cell r="AA319">
            <v>14.362470975347762</v>
          </cell>
          <cell r="AB319">
            <v>0</v>
          </cell>
        </row>
        <row r="320">
          <cell r="X320">
            <v>758.88</v>
          </cell>
          <cell r="Z320" t="str">
            <v>RA</v>
          </cell>
          <cell r="AA320">
            <v>127.19561178401108</v>
          </cell>
          <cell r="AB320">
            <v>0</v>
          </cell>
        </row>
        <row r="321">
          <cell r="X321">
            <v>185.1</v>
          </cell>
          <cell r="Z321" t="str">
            <v>RA</v>
          </cell>
          <cell r="AA321">
            <v>31.024546359398652</v>
          </cell>
          <cell r="AB321">
            <v>0</v>
          </cell>
        </row>
        <row r="322">
          <cell r="X322">
            <v>267.08</v>
          </cell>
          <cell r="Z322" t="str">
            <v>RA</v>
          </cell>
          <cell r="AA322">
            <v>44.765185530352198</v>
          </cell>
          <cell r="AB322">
            <v>0</v>
          </cell>
        </row>
        <row r="323">
          <cell r="X323">
            <v>616.04</v>
          </cell>
          <cell r="Z323" t="str">
            <v>RA</v>
          </cell>
          <cell r="AA323">
            <v>103.25424926657993</v>
          </cell>
          <cell r="AB323">
            <v>0</v>
          </cell>
        </row>
        <row r="324">
          <cell r="X324">
            <v>11032.56</v>
          </cell>
          <cell r="Z324" t="str">
            <v/>
          </cell>
          <cell r="AA324">
            <v>1849.1635288106281</v>
          </cell>
          <cell r="AB324">
            <v>0</v>
          </cell>
        </row>
        <row r="325">
          <cell r="X325">
            <v>6624.27</v>
          </cell>
          <cell r="Z325" t="str">
            <v>RA</v>
          </cell>
          <cell r="AA325">
            <v>1110.2915813731699</v>
          </cell>
          <cell r="AB325">
            <v>0</v>
          </cell>
        </row>
        <row r="326">
          <cell r="X326">
            <v>4408.29</v>
          </cell>
          <cell r="Z326" t="str">
            <v>RA</v>
          </cell>
          <cell r="AA326">
            <v>738.87194743745806</v>
          </cell>
          <cell r="AB326">
            <v>0</v>
          </cell>
        </row>
        <row r="327">
          <cell r="X327">
            <v>4034.88</v>
          </cell>
          <cell r="Z327" t="str">
            <v/>
          </cell>
          <cell r="AA327">
            <v>676.28482773965663</v>
          </cell>
          <cell r="AB327">
            <v>0</v>
          </cell>
        </row>
        <row r="328">
          <cell r="X328">
            <v>2866.12</v>
          </cell>
          <cell r="Z328" t="str">
            <v>RA</v>
          </cell>
          <cell r="AA328">
            <v>480.38937229389342</v>
          </cell>
          <cell r="AB328">
            <v>0</v>
          </cell>
        </row>
        <row r="329">
          <cell r="X329">
            <v>1168.76</v>
          </cell>
          <cell r="Z329" t="str">
            <v>RA</v>
          </cell>
          <cell r="AA329">
            <v>195.89545544576322</v>
          </cell>
          <cell r="AB329">
            <v>0</v>
          </cell>
        </row>
        <row r="330">
          <cell r="X330">
            <v>94384.12</v>
          </cell>
          <cell r="Z330" t="str">
            <v/>
          </cell>
          <cell r="AA330">
            <v>15819.689392388145</v>
          </cell>
          <cell r="AB330">
            <v>0</v>
          </cell>
        </row>
        <row r="331">
          <cell r="X331">
            <v>25487.4</v>
          </cell>
          <cell r="Z331" t="str">
            <v/>
          </cell>
          <cell r="AA331">
            <v>4271.934213293016</v>
          </cell>
          <cell r="AB331">
            <v>0</v>
          </cell>
        </row>
        <row r="332">
          <cell r="X332">
            <v>2327.14</v>
          </cell>
          <cell r="Z332" t="str">
            <v>RA</v>
          </cell>
          <cell r="AA332">
            <v>390.05112271642884</v>
          </cell>
          <cell r="AB332">
            <v>0</v>
          </cell>
        </row>
        <row r="333">
          <cell r="X333">
            <v>5425.16</v>
          </cell>
          <cell r="Z333" t="str">
            <v>RA</v>
          </cell>
          <cell r="AA333">
            <v>909.30917302623016</v>
          </cell>
          <cell r="AB333">
            <v>0</v>
          </cell>
        </row>
        <row r="334">
          <cell r="X334">
            <v>189.31</v>
          </cell>
          <cell r="Z334" t="str">
            <v>RA</v>
          </cell>
          <cell r="AA334">
            <v>31.730182989182925</v>
          </cell>
          <cell r="AB334">
            <v>0</v>
          </cell>
        </row>
        <row r="335">
          <cell r="X335">
            <v>7996.48</v>
          </cell>
          <cell r="Z335" t="str">
            <v>RA</v>
          </cell>
          <cell r="AA335">
            <v>1340.2872202701467</v>
          </cell>
          <cell r="AB335">
            <v>0</v>
          </cell>
        </row>
        <row r="336">
          <cell r="X336">
            <v>2460.65</v>
          </cell>
          <cell r="Z336" t="str">
            <v>RA</v>
          </cell>
          <cell r="AA336">
            <v>412.42868719208161</v>
          </cell>
          <cell r="AB336">
            <v>0</v>
          </cell>
        </row>
        <row r="337">
          <cell r="X337">
            <v>183.72</v>
          </cell>
          <cell r="Z337" t="str">
            <v>RA</v>
          </cell>
          <cell r="AA337">
            <v>30.793245041322102</v>
          </cell>
          <cell r="AB337">
            <v>0</v>
          </cell>
        </row>
        <row r="338">
          <cell r="X338">
            <v>914.88</v>
          </cell>
          <cell r="Z338" t="str">
            <v>RA</v>
          </cell>
          <cell r="AA338">
            <v>153.34271730570848</v>
          </cell>
          <cell r="AB338">
            <v>0</v>
          </cell>
        </row>
        <row r="339">
          <cell r="X339">
            <v>66.260000000000005</v>
          </cell>
          <cell r="Z339" t="str">
            <v>RA</v>
          </cell>
          <cell r="AA339">
            <v>11.105815460690195</v>
          </cell>
          <cell r="AB339">
            <v>0</v>
          </cell>
        </row>
        <row r="340">
          <cell r="X340">
            <v>849.8</v>
          </cell>
          <cell r="Z340" t="str">
            <v>RA</v>
          </cell>
          <cell r="AA340">
            <v>142.43468123293883</v>
          </cell>
          <cell r="AB340">
            <v>0</v>
          </cell>
        </row>
        <row r="341">
          <cell r="X341">
            <v>496.98</v>
          </cell>
          <cell r="Z341" t="str">
            <v>RA</v>
          </cell>
          <cell r="AA341">
            <v>83.298644244699858</v>
          </cell>
          <cell r="AB341">
            <v>0</v>
          </cell>
        </row>
        <row r="342">
          <cell r="X342">
            <v>799.57</v>
          </cell>
          <cell r="Z342" t="str">
            <v>RA</v>
          </cell>
          <cell r="AA342">
            <v>134.01564847425382</v>
          </cell>
          <cell r="AB342">
            <v>0</v>
          </cell>
        </row>
        <row r="343">
          <cell r="X343">
            <v>65.52</v>
          </cell>
          <cell r="Z343" t="str">
            <v>RA</v>
          </cell>
          <cell r="AA343">
            <v>10.98178431911291</v>
          </cell>
          <cell r="AB343">
            <v>0</v>
          </cell>
        </row>
        <row r="344">
          <cell r="X344">
            <v>632.48</v>
          </cell>
          <cell r="Z344" t="str">
            <v>RA</v>
          </cell>
          <cell r="AA344">
            <v>106.00975192540498</v>
          </cell>
          <cell r="AB344">
            <v>0</v>
          </cell>
        </row>
        <row r="345">
          <cell r="X345">
            <v>426.59</v>
          </cell>
          <cell r="Z345" t="str">
            <v>RA</v>
          </cell>
          <cell r="AA345">
            <v>71.500600926287802</v>
          </cell>
          <cell r="AB345">
            <v>0</v>
          </cell>
        </row>
        <row r="346">
          <cell r="X346">
            <v>533.78</v>
          </cell>
          <cell r="Z346" t="str">
            <v>RA</v>
          </cell>
          <cell r="AA346">
            <v>89.466679393407958</v>
          </cell>
          <cell r="AB346">
            <v>0</v>
          </cell>
        </row>
        <row r="347">
          <cell r="X347">
            <v>191.4</v>
          </cell>
          <cell r="Z347" t="str">
            <v>RA</v>
          </cell>
          <cell r="AA347">
            <v>32.080487159313357</v>
          </cell>
          <cell r="AB347">
            <v>0</v>
          </cell>
        </row>
        <row r="348">
          <cell r="X348">
            <v>579.84</v>
          </cell>
          <cell r="Z348" t="str">
            <v>RA</v>
          </cell>
          <cell r="AA348">
            <v>97.186779908339901</v>
          </cell>
          <cell r="AB348">
            <v>0</v>
          </cell>
        </row>
        <row r="349">
          <cell r="X349">
            <v>444.72</v>
          </cell>
          <cell r="Z349" t="str">
            <v>RA</v>
          </cell>
          <cell r="AA349">
            <v>74.539363894931228</v>
          </cell>
          <cell r="AB349">
            <v>0</v>
          </cell>
        </row>
        <row r="350">
          <cell r="X350">
            <v>129.24</v>
          </cell>
          <cell r="Z350" t="str">
            <v>RA</v>
          </cell>
          <cell r="AA350">
            <v>21.661871266821624</v>
          </cell>
          <cell r="AB350">
            <v>0</v>
          </cell>
        </row>
        <row r="351">
          <cell r="X351">
            <v>399.84</v>
          </cell>
          <cell r="Z351" t="str">
            <v>RA</v>
          </cell>
          <cell r="AA351">
            <v>67.017042767919818</v>
          </cell>
          <cell r="AB351">
            <v>0</v>
          </cell>
        </row>
        <row r="352">
          <cell r="X352">
            <v>340.48</v>
          </cell>
          <cell r="Z352" t="str">
            <v>RA</v>
          </cell>
          <cell r="AA352">
            <v>57.067733897612399</v>
          </cell>
          <cell r="AB352">
            <v>0</v>
          </cell>
        </row>
        <row r="353">
          <cell r="X353">
            <v>33.56</v>
          </cell>
          <cell r="Z353" t="str">
            <v>RA</v>
          </cell>
          <cell r="AA353">
            <v>5.6249798801805451</v>
          </cell>
          <cell r="AB353">
            <v>0</v>
          </cell>
        </row>
        <row r="354">
          <cell r="X354">
            <v>19940.03</v>
          </cell>
          <cell r="Z354" t="str">
            <v/>
          </cell>
          <cell r="AA354">
            <v>3342.1414648449481</v>
          </cell>
          <cell r="AB354">
            <v>0</v>
          </cell>
        </row>
        <row r="355">
          <cell r="X355">
            <v>8832.36</v>
          </cell>
          <cell r="Z355" t="str">
            <v>RA</v>
          </cell>
          <cell r="AA355">
            <v>1480.3887751642264</v>
          </cell>
          <cell r="AB355">
            <v>0</v>
          </cell>
        </row>
        <row r="356">
          <cell r="X356">
            <v>7245.12</v>
          </cell>
          <cell r="Z356" t="str">
            <v>RA</v>
          </cell>
          <cell r="AA356">
            <v>1214.352033060002</v>
          </cell>
          <cell r="AB356">
            <v>0</v>
          </cell>
        </row>
        <row r="357">
          <cell r="X357">
            <v>1229.52</v>
          </cell>
          <cell r="Z357" t="str">
            <v>RA</v>
          </cell>
          <cell r="AA357">
            <v>206.07941782716279</v>
          </cell>
          <cell r="AB357">
            <v>0</v>
          </cell>
        </row>
        <row r="358">
          <cell r="X358">
            <v>455.49</v>
          </cell>
          <cell r="Z358" t="str">
            <v>RA</v>
          </cell>
          <cell r="AA358">
            <v>76.344519833833033</v>
          </cell>
          <cell r="AB358">
            <v>0</v>
          </cell>
        </row>
        <row r="359">
          <cell r="X359">
            <v>424.8</v>
          </cell>
          <cell r="Z359" t="str">
            <v>RA</v>
          </cell>
          <cell r="AA359">
            <v>71.200579651391408</v>
          </cell>
          <cell r="AB359">
            <v>0</v>
          </cell>
        </row>
        <row r="360">
          <cell r="X360">
            <v>542.49</v>
          </cell>
          <cell r="Z360" t="str">
            <v>RA</v>
          </cell>
          <cell r="AA360">
            <v>90.92655945170273</v>
          </cell>
          <cell r="AB360">
            <v>0</v>
          </cell>
        </row>
        <row r="361">
          <cell r="X361">
            <v>1210.25</v>
          </cell>
          <cell r="Z361" t="str">
            <v>RA</v>
          </cell>
          <cell r="AA361">
            <v>202.84957985663004</v>
          </cell>
          <cell r="AB361">
            <v>0</v>
          </cell>
        </row>
        <row r="362">
          <cell r="X362">
            <v>36645.769999999997</v>
          </cell>
          <cell r="Z362" t="str">
            <v/>
          </cell>
          <cell r="AA362">
            <v>6142.1847122682893</v>
          </cell>
          <cell r="AB362">
            <v>0</v>
          </cell>
        </row>
        <row r="363">
          <cell r="X363">
            <v>15547.94</v>
          </cell>
          <cell r="Z363" t="str">
            <v>RA</v>
          </cell>
          <cell r="AA363">
            <v>2605.9847937501281</v>
          </cell>
          <cell r="AB363">
            <v>0</v>
          </cell>
        </row>
        <row r="364">
          <cell r="X364">
            <v>10204.65</v>
          </cell>
          <cell r="Z364" t="str">
            <v>RA</v>
          </cell>
          <cell r="AA364">
            <v>1710.3978228332655</v>
          </cell>
          <cell r="AB364">
            <v>0</v>
          </cell>
        </row>
        <row r="365">
          <cell r="X365">
            <v>10893.18</v>
          </cell>
          <cell r="Z365" t="str">
            <v>RA</v>
          </cell>
          <cell r="AA365">
            <v>1825.8020956848959</v>
          </cell>
          <cell r="AB365">
            <v>0</v>
          </cell>
        </row>
        <row r="366">
          <cell r="X366">
            <v>12310.92</v>
          </cell>
          <cell r="Z366" t="str">
            <v/>
          </cell>
          <cell r="AA366">
            <v>2063.4290019818914</v>
          </cell>
          <cell r="AB366">
            <v>0</v>
          </cell>
        </row>
        <row r="367">
          <cell r="X367">
            <v>129.66</v>
          </cell>
          <cell r="Z367" t="str">
            <v>RA</v>
          </cell>
          <cell r="AA367">
            <v>21.732267320149269</v>
          </cell>
          <cell r="AB367">
            <v>0</v>
          </cell>
        </row>
        <row r="368">
          <cell r="X368">
            <v>1580.81</v>
          </cell>
          <cell r="Z368" t="str">
            <v>RA</v>
          </cell>
          <cell r="AA368">
            <v>264.95901204970818</v>
          </cell>
          <cell r="AB368">
            <v>0</v>
          </cell>
        </row>
        <row r="369">
          <cell r="X369">
            <v>259.42</v>
          </cell>
          <cell r="Z369" t="str">
            <v>RA</v>
          </cell>
          <cell r="AA369">
            <v>43.481295605376552</v>
          </cell>
          <cell r="AB369">
            <v>0</v>
          </cell>
        </row>
        <row r="370">
          <cell r="X370">
            <v>80.58</v>
          </cell>
          <cell r="Z370" t="str">
            <v>RA</v>
          </cell>
          <cell r="AA370">
            <v>13.505985659861391</v>
          </cell>
          <cell r="AB370">
            <v>0</v>
          </cell>
        </row>
        <row r="371">
          <cell r="X371">
            <v>115.43</v>
          </cell>
          <cell r="Z371" t="str">
            <v>RA</v>
          </cell>
          <cell r="AA371">
            <v>19.347181989548282</v>
          </cell>
          <cell r="AB371">
            <v>0</v>
          </cell>
        </row>
        <row r="372">
          <cell r="X372">
            <v>7902.45</v>
          </cell>
          <cell r="Z372" t="str">
            <v>RA</v>
          </cell>
          <cell r="AA372">
            <v>1324.5268848072928</v>
          </cell>
          <cell r="AB372">
            <v>0</v>
          </cell>
        </row>
        <row r="373">
          <cell r="X373">
            <v>228.92</v>
          </cell>
          <cell r="Z373" t="str">
            <v>RA</v>
          </cell>
          <cell r="AA373">
            <v>38.369201256583139</v>
          </cell>
          <cell r="AB373">
            <v>0</v>
          </cell>
        </row>
        <row r="374">
          <cell r="X374">
            <v>1745.12</v>
          </cell>
          <cell r="Z374" t="str">
            <v>RA</v>
          </cell>
          <cell r="AA374">
            <v>292.49895376938832</v>
          </cell>
          <cell r="AB374">
            <v>0</v>
          </cell>
        </row>
        <row r="375">
          <cell r="X375">
            <v>268.52999999999997</v>
          </cell>
          <cell r="Z375" t="str">
            <v>RA</v>
          </cell>
          <cell r="AA375">
            <v>45.008219523983357</v>
          </cell>
          <cell r="AB375">
            <v>0</v>
          </cell>
        </row>
        <row r="376">
          <cell r="X376">
            <v>67608.23</v>
          </cell>
          <cell r="Z376" t="str">
            <v/>
          </cell>
          <cell r="AA376">
            <v>11331.791820161461</v>
          </cell>
          <cell r="AB376">
            <v>0</v>
          </cell>
        </row>
        <row r="377">
          <cell r="X377">
            <v>1716.64</v>
          </cell>
          <cell r="Z377" t="str">
            <v>RA</v>
          </cell>
          <cell r="AA377">
            <v>287.72543091517076</v>
          </cell>
          <cell r="AB377">
            <v>0</v>
          </cell>
        </row>
        <row r="378">
          <cell r="X378">
            <v>7895.6</v>
          </cell>
          <cell r="Z378" t="str">
            <v>RA</v>
          </cell>
          <cell r="AA378">
            <v>1323.378758699449</v>
          </cell>
          <cell r="AB378">
            <v>0</v>
          </cell>
        </row>
        <row r="379">
          <cell r="X379">
            <v>196.8</v>
          </cell>
          <cell r="Z379" t="str">
            <v>RA</v>
          </cell>
          <cell r="AA379">
            <v>32.985579273525964</v>
          </cell>
          <cell r="AB379">
            <v>0</v>
          </cell>
        </row>
        <row r="380">
          <cell r="X380">
            <v>966.5</v>
          </cell>
          <cell r="Z380" t="str">
            <v>RA</v>
          </cell>
          <cell r="AA380">
            <v>161.99472747897784</v>
          </cell>
          <cell r="AB380">
            <v>0</v>
          </cell>
        </row>
        <row r="381">
          <cell r="X381">
            <v>1363.78</v>
          </cell>
          <cell r="Z381" t="str">
            <v>RA</v>
          </cell>
          <cell r="AA381">
            <v>228.58268954090056</v>
          </cell>
          <cell r="AB381">
            <v>0</v>
          </cell>
        </row>
        <row r="382">
          <cell r="X382">
            <v>608.52</v>
          </cell>
          <cell r="Z382" t="str">
            <v>RA</v>
          </cell>
          <cell r="AA382">
            <v>101.9938246927135</v>
          </cell>
          <cell r="AB382">
            <v>0</v>
          </cell>
        </row>
        <row r="383">
          <cell r="X383">
            <v>2924.46</v>
          </cell>
          <cell r="Z383" t="str">
            <v>RA</v>
          </cell>
          <cell r="AA383">
            <v>490.16771932040513</v>
          </cell>
          <cell r="AB383">
            <v>0</v>
          </cell>
        </row>
        <row r="384">
          <cell r="X384">
            <v>841.56</v>
          </cell>
          <cell r="Z384" t="str">
            <v>RA</v>
          </cell>
          <cell r="AA384">
            <v>141.05357771051069</v>
          </cell>
          <cell r="AB384">
            <v>0</v>
          </cell>
        </row>
        <row r="385">
          <cell r="X385">
            <v>4062.4</v>
          </cell>
          <cell r="Z385" t="str">
            <v>RA</v>
          </cell>
          <cell r="AA385">
            <v>680.89744532912528</v>
          </cell>
          <cell r="AB385">
            <v>0</v>
          </cell>
        </row>
        <row r="386">
          <cell r="X386">
            <v>1184</v>
          </cell>
          <cell r="Z386" t="str">
            <v>RA</v>
          </cell>
          <cell r="AA386">
            <v>198.44982652365212</v>
          </cell>
          <cell r="AB386">
            <v>0</v>
          </cell>
        </row>
        <row r="387">
          <cell r="X387">
            <v>2368</v>
          </cell>
          <cell r="Z387" t="str">
            <v>RA</v>
          </cell>
          <cell r="AA387">
            <v>396.89965304730424</v>
          </cell>
          <cell r="AB387">
            <v>0</v>
          </cell>
        </row>
        <row r="388">
          <cell r="X388">
            <v>324.10000000000002</v>
          </cell>
          <cell r="Z388" t="str">
            <v>RA</v>
          </cell>
          <cell r="AA388">
            <v>54.322287817834166</v>
          </cell>
          <cell r="AB388">
            <v>0</v>
          </cell>
        </row>
        <row r="389">
          <cell r="X389">
            <v>3136.5</v>
          </cell>
          <cell r="Z389" t="str">
            <v>RA</v>
          </cell>
          <cell r="AA389">
            <v>525.70766967181999</v>
          </cell>
          <cell r="AB389">
            <v>0</v>
          </cell>
        </row>
        <row r="390">
          <cell r="X390">
            <v>1761.37</v>
          </cell>
          <cell r="Z390" t="str">
            <v>RA</v>
          </cell>
          <cell r="AA390">
            <v>295.22261059456514</v>
          </cell>
          <cell r="AB390">
            <v>0</v>
          </cell>
        </row>
        <row r="391">
          <cell r="X391">
            <v>67.92</v>
          </cell>
          <cell r="Z391" t="str">
            <v>RA</v>
          </cell>
          <cell r="AA391">
            <v>11.384047480985179</v>
          </cell>
          <cell r="AB391">
            <v>0</v>
          </cell>
        </row>
        <row r="392">
          <cell r="X392">
            <v>1063.52</v>
          </cell>
          <cell r="Z392" t="str">
            <v>RA</v>
          </cell>
          <cell r="AA392">
            <v>178.25621579766428</v>
          </cell>
          <cell r="AB392">
            <v>0</v>
          </cell>
        </row>
        <row r="393">
          <cell r="X393">
            <v>5038.24</v>
          </cell>
          <cell r="Z393" t="str">
            <v>RA</v>
          </cell>
          <cell r="AA393">
            <v>844.45764694638933</v>
          </cell>
          <cell r="AB393">
            <v>0</v>
          </cell>
        </row>
        <row r="394">
          <cell r="X394">
            <v>1528.32</v>
          </cell>
          <cell r="Z394" t="str">
            <v>RA</v>
          </cell>
          <cell r="AA394">
            <v>256.16118148026015</v>
          </cell>
          <cell r="AB394">
            <v>0</v>
          </cell>
        </row>
        <row r="395">
          <cell r="X395">
            <v>1121.3599999999999</v>
          </cell>
          <cell r="Z395" t="str">
            <v>RA</v>
          </cell>
          <cell r="AA395">
            <v>187.95075799878592</v>
          </cell>
          <cell r="AB395">
            <v>0</v>
          </cell>
        </row>
        <row r="396">
          <cell r="X396">
            <v>1881.76</v>
          </cell>
          <cell r="Z396" t="str">
            <v>RA</v>
          </cell>
          <cell r="AA396">
            <v>315.40113645198278</v>
          </cell>
          <cell r="AB396">
            <v>0</v>
          </cell>
        </row>
        <row r="397">
          <cell r="X397">
            <v>2249.52</v>
          </cell>
          <cell r="Z397" t="str">
            <v>RA</v>
          </cell>
          <cell r="AA397">
            <v>377.04126162287662</v>
          </cell>
          <cell r="AB397">
            <v>0</v>
          </cell>
        </row>
        <row r="398">
          <cell r="X398">
            <v>338.9</v>
          </cell>
          <cell r="Z398" t="str">
            <v>RA</v>
          </cell>
          <cell r="AA398">
            <v>56.802910649379811</v>
          </cell>
          <cell r="AB398">
            <v>0</v>
          </cell>
        </row>
        <row r="399">
          <cell r="X399">
            <v>2918.56</v>
          </cell>
          <cell r="Z399" t="str">
            <v>RA</v>
          </cell>
          <cell r="AA399">
            <v>489.17882238080244</v>
          </cell>
          <cell r="AB399">
            <v>0</v>
          </cell>
        </row>
        <row r="400">
          <cell r="X400">
            <v>1066.08</v>
          </cell>
          <cell r="Z400" t="str">
            <v>RA</v>
          </cell>
          <cell r="AA400">
            <v>178.68529650366133</v>
          </cell>
          <cell r="AB400">
            <v>0</v>
          </cell>
        </row>
        <row r="401">
          <cell r="X401">
            <v>1762.53</v>
          </cell>
          <cell r="Z401" t="str">
            <v>RA</v>
          </cell>
          <cell r="AA401">
            <v>295.41703778947004</v>
          </cell>
          <cell r="AB401">
            <v>0</v>
          </cell>
        </row>
        <row r="402">
          <cell r="X402">
            <v>2358.1799999999998</v>
          </cell>
          <cell r="Z402" t="str">
            <v>RA</v>
          </cell>
          <cell r="AA402">
            <v>395.25372627664353</v>
          </cell>
          <cell r="AB402">
            <v>0</v>
          </cell>
        </row>
        <row r="403">
          <cell r="X403">
            <v>2722.95</v>
          </cell>
          <cell r="Z403" t="str">
            <v>RA</v>
          </cell>
          <cell r="AA403">
            <v>456.3926985917048</v>
          </cell>
          <cell r="AB403">
            <v>0</v>
          </cell>
        </row>
        <row r="404">
          <cell r="X404">
            <v>3987.97</v>
          </cell>
          <cell r="Z404" t="str">
            <v>RA</v>
          </cell>
          <cell r="AA404">
            <v>668.42225902156156</v>
          </cell>
          <cell r="AB404">
            <v>0</v>
          </cell>
        </row>
        <row r="405">
          <cell r="X405">
            <v>1971.4</v>
          </cell>
          <cell r="Z405" t="str">
            <v>RA</v>
          </cell>
          <cell r="AA405">
            <v>330.42566554791199</v>
          </cell>
          <cell r="AB405">
            <v>0</v>
          </cell>
        </row>
        <row r="406">
          <cell r="X406">
            <v>1060.3599999999999</v>
          </cell>
          <cell r="Z406" t="str">
            <v>RA</v>
          </cell>
          <cell r="AA406">
            <v>177.72656930119911</v>
          </cell>
          <cell r="AB406">
            <v>0</v>
          </cell>
        </row>
        <row r="407">
          <cell r="X407">
            <v>1060.3599999999999</v>
          </cell>
          <cell r="Z407" t="str">
            <v>RA</v>
          </cell>
          <cell r="AA407">
            <v>177.72656930119911</v>
          </cell>
          <cell r="AB407">
            <v>0</v>
          </cell>
        </row>
        <row r="408">
          <cell r="X408">
            <v>1026.6199999999999</v>
          </cell>
          <cell r="Z408" t="str">
            <v>RA</v>
          </cell>
          <cell r="AA408">
            <v>172.07141968387813</v>
          </cell>
          <cell r="AB408">
            <v>0</v>
          </cell>
        </row>
        <row r="409">
          <cell r="X409">
            <v>3954.71</v>
          </cell>
          <cell r="Z409" t="str">
            <v>RA</v>
          </cell>
          <cell r="AA409">
            <v>662.84756203661505</v>
          </cell>
          <cell r="AB409">
            <v>0</v>
          </cell>
        </row>
        <row r="410">
          <cell r="X410">
            <v>1078.74</v>
          </cell>
          <cell r="Z410" t="str">
            <v>RA</v>
          </cell>
          <cell r="AA410">
            <v>180.80723468253757</v>
          </cell>
          <cell r="AB410">
            <v>0</v>
          </cell>
        </row>
        <row r="411">
          <cell r="X411">
            <v>73332.259999999995</v>
          </cell>
          <cell r="Z411" t="str">
            <v/>
          </cell>
          <cell r="AA411">
            <v>12291.194489516345</v>
          </cell>
          <cell r="AB411">
            <v>0</v>
          </cell>
        </row>
        <row r="412">
          <cell r="X412">
            <v>1775.69</v>
          </cell>
          <cell r="Z412" t="str">
            <v/>
          </cell>
          <cell r="AA412">
            <v>297.62278079373635</v>
          </cell>
          <cell r="AB412">
            <v>0</v>
          </cell>
        </row>
        <row r="413">
          <cell r="X413">
            <v>1440.8</v>
          </cell>
          <cell r="Z413" t="str">
            <v>RA</v>
          </cell>
          <cell r="AA413">
            <v>241.49198484398477</v>
          </cell>
          <cell r="AB413">
            <v>0</v>
          </cell>
        </row>
        <row r="414">
          <cell r="X414">
            <v>334.89</v>
          </cell>
          <cell r="Z414" t="str">
            <v>RA</v>
          </cell>
          <cell r="AA414">
            <v>56.130795949751565</v>
          </cell>
          <cell r="AB414">
            <v>0</v>
          </cell>
        </row>
        <row r="415">
          <cell r="X415">
            <v>4639.42</v>
          </cell>
          <cell r="Z415" t="str">
            <v/>
          </cell>
          <cell r="AA415">
            <v>777.61156602226538</v>
          </cell>
          <cell r="AB415">
            <v>0</v>
          </cell>
        </row>
        <row r="416">
          <cell r="X416">
            <v>3432.02</v>
          </cell>
          <cell r="Z416" t="str">
            <v>RA</v>
          </cell>
          <cell r="AA416">
            <v>575.23967367035857</v>
          </cell>
          <cell r="AB416">
            <v>0</v>
          </cell>
        </row>
        <row r="417">
          <cell r="X417">
            <v>1207.4000000000001</v>
          </cell>
          <cell r="Z417" t="str">
            <v>RA</v>
          </cell>
          <cell r="AA417">
            <v>202.37189235190675</v>
          </cell>
          <cell r="AB417">
            <v>0</v>
          </cell>
        </row>
        <row r="418">
          <cell r="X418">
            <v>36716.26</v>
          </cell>
          <cell r="Z418" t="str">
            <v/>
          </cell>
          <cell r="AA418">
            <v>6153.9995165517794</v>
          </cell>
          <cell r="AB418">
            <v>0</v>
          </cell>
        </row>
        <row r="419">
          <cell r="X419">
            <v>543.29999999999995</v>
          </cell>
          <cell r="Z419" t="str">
            <v>RA</v>
          </cell>
          <cell r="AA419">
            <v>91.062323268834618</v>
          </cell>
          <cell r="AB419">
            <v>0</v>
          </cell>
        </row>
        <row r="420">
          <cell r="X420">
            <v>578.16</v>
          </cell>
          <cell r="Z420" t="str">
            <v>RA</v>
          </cell>
          <cell r="AA420">
            <v>96.905195695029306</v>
          </cell>
          <cell r="AB420">
            <v>0</v>
          </cell>
        </row>
        <row r="421">
          <cell r="X421">
            <v>2307.4</v>
          </cell>
          <cell r="Z421" t="str">
            <v>RA</v>
          </cell>
          <cell r="AA421">
            <v>386.74250821002948</v>
          </cell>
          <cell r="AB421">
            <v>0</v>
          </cell>
        </row>
        <row r="422">
          <cell r="X422">
            <v>391.05</v>
          </cell>
          <cell r="Z422" t="str">
            <v>RA</v>
          </cell>
          <cell r="AA422">
            <v>65.543753937562641</v>
          </cell>
          <cell r="AB422">
            <v>0</v>
          </cell>
        </row>
        <row r="423">
          <cell r="X423">
            <v>125.23</v>
          </cell>
          <cell r="Z423" t="str">
            <v>RA</v>
          </cell>
          <cell r="AA423">
            <v>20.989756567193375</v>
          </cell>
          <cell r="AB423">
            <v>0</v>
          </cell>
        </row>
        <row r="424">
          <cell r="X424">
            <v>2141.66</v>
          </cell>
          <cell r="Z424" t="str">
            <v>RA</v>
          </cell>
          <cell r="AA424">
            <v>358.96288468973376</v>
          </cell>
          <cell r="AB424">
            <v>0</v>
          </cell>
        </row>
        <row r="425">
          <cell r="X425">
            <v>476.38</v>
          </cell>
          <cell r="Z425" t="str">
            <v>RA</v>
          </cell>
          <cell r="AA425">
            <v>79.845885438629551</v>
          </cell>
          <cell r="AB425">
            <v>0</v>
          </cell>
        </row>
        <row r="426">
          <cell r="X426">
            <v>679.98</v>
          </cell>
          <cell r="Z426" t="str">
            <v>RA</v>
          </cell>
          <cell r="AA426">
            <v>113.97121033746028</v>
          </cell>
          <cell r="AB426">
            <v>0</v>
          </cell>
        </row>
        <row r="427">
          <cell r="X427">
            <v>10789.88</v>
          </cell>
          <cell r="Z427" t="str">
            <v>RA</v>
          </cell>
          <cell r="AA427">
            <v>1808.4880187593103</v>
          </cell>
          <cell r="AB427">
            <v>0</v>
          </cell>
        </row>
        <row r="428">
          <cell r="X428">
            <v>1928.04</v>
          </cell>
          <cell r="Z428" t="str">
            <v>RA</v>
          </cell>
          <cell r="AA428">
            <v>323.15811109008632</v>
          </cell>
          <cell r="AB428">
            <v>0</v>
          </cell>
        </row>
        <row r="429">
          <cell r="X429">
            <v>6661.62</v>
          </cell>
          <cell r="Z429" t="str">
            <v>RA</v>
          </cell>
          <cell r="AA429">
            <v>1116.5518018298069</v>
          </cell>
          <cell r="AB429">
            <v>0</v>
          </cell>
        </row>
        <row r="430">
          <cell r="X430">
            <v>3263.28</v>
          </cell>
          <cell r="Z430" t="str">
            <v>RA</v>
          </cell>
          <cell r="AA430">
            <v>546.95722119772256</v>
          </cell>
          <cell r="AB430">
            <v>0</v>
          </cell>
        </row>
        <row r="431">
          <cell r="X431">
            <v>5204.08</v>
          </cell>
          <cell r="Z431" t="str">
            <v>RA</v>
          </cell>
          <cell r="AA431">
            <v>872.25403143176311</v>
          </cell>
          <cell r="AB431">
            <v>0</v>
          </cell>
        </row>
        <row r="432">
          <cell r="X432">
            <v>839</v>
          </cell>
          <cell r="Z432" t="str">
            <v>RA</v>
          </cell>
          <cell r="AA432">
            <v>140.62449700451361</v>
          </cell>
          <cell r="AB432">
            <v>0</v>
          </cell>
        </row>
        <row r="433">
          <cell r="X433">
            <v>493.5</v>
          </cell>
          <cell r="Z433" t="str">
            <v>RA</v>
          </cell>
          <cell r="AA433">
            <v>82.715362659985061</v>
          </cell>
          <cell r="AB433">
            <v>0</v>
          </cell>
        </row>
        <row r="434">
          <cell r="X434">
            <v>120.3</v>
          </cell>
          <cell r="Z434" t="str">
            <v>RA</v>
          </cell>
          <cell r="AA434">
            <v>20.163440988847423</v>
          </cell>
          <cell r="AB434">
            <v>0</v>
          </cell>
        </row>
        <row r="435">
          <cell r="X435">
            <v>173.4</v>
          </cell>
          <cell r="Z435" t="str">
            <v>RA</v>
          </cell>
          <cell r="AA435">
            <v>29.063513445271351</v>
          </cell>
          <cell r="AB435">
            <v>0</v>
          </cell>
        </row>
        <row r="436">
          <cell r="X436">
            <v>26780.25</v>
          </cell>
          <cell r="Z436" t="str">
            <v/>
          </cell>
          <cell r="AA436">
            <v>4488.6283503040831</v>
          </cell>
          <cell r="AB436">
            <v>0</v>
          </cell>
        </row>
        <row r="437">
          <cell r="X437">
            <v>196.35</v>
          </cell>
          <cell r="Z437" t="str">
            <v>RA</v>
          </cell>
          <cell r="AA437">
            <v>32.910154930674906</v>
          </cell>
          <cell r="AB437">
            <v>0</v>
          </cell>
        </row>
        <row r="438">
          <cell r="X438">
            <v>114.19</v>
          </cell>
          <cell r="Z438" t="str">
            <v>RA</v>
          </cell>
          <cell r="AA438">
            <v>19.139346022580941</v>
          </cell>
          <cell r="AB438">
            <v>0</v>
          </cell>
        </row>
        <row r="439">
          <cell r="X439">
            <v>11013.16</v>
          </cell>
          <cell r="Z439" t="str">
            <v>RA</v>
          </cell>
          <cell r="AA439">
            <v>1845.9119015854938</v>
          </cell>
          <cell r="AB439">
            <v>0</v>
          </cell>
        </row>
        <row r="440">
          <cell r="X440">
            <v>916.17</v>
          </cell>
          <cell r="Z440" t="str">
            <v>RA</v>
          </cell>
          <cell r="AA440">
            <v>153.55893375521484</v>
          </cell>
          <cell r="AB440">
            <v>0</v>
          </cell>
        </row>
        <row r="441">
          <cell r="X441">
            <v>293.64</v>
          </cell>
          <cell r="Z441" t="str">
            <v>RA</v>
          </cell>
          <cell r="AA441">
            <v>49.216897855071963</v>
          </cell>
          <cell r="AB441">
            <v>0</v>
          </cell>
        </row>
        <row r="442">
          <cell r="X442">
            <v>499.05</v>
          </cell>
          <cell r="Z442" t="str">
            <v>RA</v>
          </cell>
          <cell r="AA442">
            <v>83.645596221814685</v>
          </cell>
          <cell r="AB442">
            <v>0</v>
          </cell>
        </row>
        <row r="443">
          <cell r="X443">
            <v>2306.25</v>
          </cell>
          <cell r="Z443" t="str">
            <v>RA</v>
          </cell>
          <cell r="AA443">
            <v>386.54975711163235</v>
          </cell>
          <cell r="AB443">
            <v>0</v>
          </cell>
        </row>
        <row r="444">
          <cell r="X444">
            <v>1247.46</v>
          </cell>
          <cell r="Z444" t="str">
            <v>RA</v>
          </cell>
          <cell r="AA444">
            <v>209.08633496215799</v>
          </cell>
          <cell r="AB444">
            <v>0</v>
          </cell>
        </row>
        <row r="445">
          <cell r="X445">
            <v>157.5</v>
          </cell>
          <cell r="Z445" t="str">
            <v>RA</v>
          </cell>
          <cell r="AA445">
            <v>26.398519997867574</v>
          </cell>
          <cell r="AB445">
            <v>0</v>
          </cell>
        </row>
        <row r="446">
          <cell r="X446">
            <v>277.44</v>
          </cell>
          <cell r="Z446" t="str">
            <v>RA</v>
          </cell>
          <cell r="AA446">
            <v>46.501621512434156</v>
          </cell>
          <cell r="AB446">
            <v>0</v>
          </cell>
        </row>
        <row r="447">
          <cell r="X447">
            <v>264.95999999999998</v>
          </cell>
          <cell r="Z447" t="str">
            <v>RA</v>
          </cell>
          <cell r="AA447">
            <v>44.409853070698361</v>
          </cell>
          <cell r="AB447">
            <v>0</v>
          </cell>
        </row>
        <row r="448">
          <cell r="X448">
            <v>430.65</v>
          </cell>
          <cell r="Z448" t="str">
            <v>RA</v>
          </cell>
          <cell r="AA448">
            <v>72.181096108455051</v>
          </cell>
          <cell r="AB448">
            <v>0</v>
          </cell>
        </row>
        <row r="449">
          <cell r="X449">
            <v>949.46</v>
          </cell>
          <cell r="Z449" t="str">
            <v>RA</v>
          </cell>
          <cell r="AA449">
            <v>159.13865902968476</v>
          </cell>
          <cell r="AB449">
            <v>0</v>
          </cell>
        </row>
        <row r="450">
          <cell r="X450">
            <v>1009.78</v>
          </cell>
          <cell r="Z450" t="str">
            <v>RA</v>
          </cell>
          <cell r="AA450">
            <v>169.24887316474107</v>
          </cell>
          <cell r="AB450">
            <v>0</v>
          </cell>
        </row>
        <row r="451">
          <cell r="X451">
            <v>1221.8499999999999</v>
          </cell>
          <cell r="Z451" t="str">
            <v>RA</v>
          </cell>
          <cell r="AA451">
            <v>204.79385180567934</v>
          </cell>
          <cell r="AB451">
            <v>0</v>
          </cell>
        </row>
        <row r="452">
          <cell r="X452">
            <v>427.6</v>
          </cell>
          <cell r="Z452" t="str">
            <v>RA</v>
          </cell>
          <cell r="AA452">
            <v>71.669886673575718</v>
          </cell>
          <cell r="AB452">
            <v>0</v>
          </cell>
        </row>
        <row r="453">
          <cell r="X453">
            <v>519.26</v>
          </cell>
          <cell r="Z453" t="str">
            <v>RA</v>
          </cell>
          <cell r="AA453">
            <v>87.032987264080745</v>
          </cell>
          <cell r="AB453">
            <v>0</v>
          </cell>
        </row>
        <row r="454">
          <cell r="X454">
            <v>1642.65</v>
          </cell>
          <cell r="Z454" t="str">
            <v>RA</v>
          </cell>
          <cell r="AA454">
            <v>275.3239928539503</v>
          </cell>
          <cell r="AB454">
            <v>0</v>
          </cell>
        </row>
        <row r="455">
          <cell r="X455">
            <v>417.4</v>
          </cell>
          <cell r="Z455" t="str">
            <v>RA</v>
          </cell>
          <cell r="AA455">
            <v>69.960268235618571</v>
          </cell>
          <cell r="AB455">
            <v>0</v>
          </cell>
        </row>
        <row r="456">
          <cell r="X456">
            <v>756.19</v>
          </cell>
          <cell r="Z456" t="str">
            <v>RA</v>
          </cell>
          <cell r="AA456">
            <v>126.74474182341258</v>
          </cell>
          <cell r="AB456">
            <v>0</v>
          </cell>
        </row>
        <row r="457">
          <cell r="X457">
            <v>154.56</v>
          </cell>
          <cell r="Z457" t="str">
            <v>RA</v>
          </cell>
          <cell r="AA457">
            <v>25.905747624574047</v>
          </cell>
          <cell r="AB457">
            <v>0</v>
          </cell>
        </row>
        <row r="458">
          <cell r="X458">
            <v>71.2</v>
          </cell>
          <cell r="Z458" t="str">
            <v>RA</v>
          </cell>
          <cell r="AA458">
            <v>11.933807135543946</v>
          </cell>
          <cell r="AB458">
            <v>0</v>
          </cell>
        </row>
        <row r="459">
          <cell r="X459">
            <v>47.36</v>
          </cell>
          <cell r="Z459" t="str">
            <v>RA</v>
          </cell>
          <cell r="AA459">
            <v>7.9379930609460843</v>
          </cell>
          <cell r="AB459">
            <v>0</v>
          </cell>
        </row>
        <row r="460">
          <cell r="X460">
            <v>211.32</v>
          </cell>
          <cell r="Z460" t="str">
            <v>RA</v>
          </cell>
          <cell r="AA460">
            <v>35.419271402853177</v>
          </cell>
          <cell r="AB460">
            <v>0</v>
          </cell>
        </row>
        <row r="461">
          <cell r="X461">
            <v>78.75</v>
          </cell>
          <cell r="Z461" t="str">
            <v>RA</v>
          </cell>
          <cell r="AA461">
            <v>13.199259998933787</v>
          </cell>
          <cell r="AB461">
            <v>0</v>
          </cell>
        </row>
        <row r="462">
          <cell r="X462">
            <v>148.68</v>
          </cell>
          <cell r="Z462" t="str">
            <v>RA</v>
          </cell>
          <cell r="AA462">
            <v>24.920202877986991</v>
          </cell>
          <cell r="AB462">
            <v>0</v>
          </cell>
        </row>
        <row r="463">
          <cell r="X463">
            <v>773.12</v>
          </cell>
          <cell r="Z463" t="str">
            <v>RA</v>
          </cell>
          <cell r="AA463">
            <v>129.58237321111986</v>
          </cell>
          <cell r="AB463">
            <v>0</v>
          </cell>
        </row>
        <row r="464">
          <cell r="X464">
            <v>109.61</v>
          </cell>
          <cell r="Z464" t="str">
            <v>RA</v>
          </cell>
          <cell r="AA464">
            <v>18.37169382200803</v>
          </cell>
          <cell r="AB464">
            <v>0</v>
          </cell>
        </row>
        <row r="465">
          <cell r="X465">
            <v>149.18</v>
          </cell>
          <cell r="Z465" t="str">
            <v>RA</v>
          </cell>
          <cell r="AA465">
            <v>25.004007703377049</v>
          </cell>
          <cell r="AB465">
            <v>0</v>
          </cell>
        </row>
        <row r="466">
          <cell r="X466">
            <v>220.68</v>
          </cell>
          <cell r="Z466" t="str">
            <v>RA</v>
          </cell>
          <cell r="AA466">
            <v>36.988097734155026</v>
          </cell>
          <cell r="AB466">
            <v>0</v>
          </cell>
        </row>
        <row r="467">
          <cell r="X467">
            <v>23.26</v>
          </cell>
          <cell r="Z467" t="str">
            <v>RA</v>
          </cell>
          <cell r="AA467">
            <v>3.8986004771453957</v>
          </cell>
          <cell r="AB467">
            <v>0</v>
          </cell>
        </row>
        <row r="468">
          <cell r="X468">
            <v>131.52000000000001</v>
          </cell>
          <cell r="Z468" t="str">
            <v>RA</v>
          </cell>
          <cell r="AA468">
            <v>22.044021270600279</v>
          </cell>
          <cell r="AB468">
            <v>0</v>
          </cell>
        </row>
        <row r="469">
          <cell r="X469">
            <v>3420.64</v>
          </cell>
          <cell r="Z469" t="str">
            <v/>
          </cell>
          <cell r="AA469">
            <v>573.33227584448093</v>
          </cell>
          <cell r="AB469">
            <v>0</v>
          </cell>
        </row>
        <row r="470">
          <cell r="X470">
            <v>657.72</v>
          </cell>
          <cell r="Z470" t="str">
            <v>RA</v>
          </cell>
          <cell r="AA470">
            <v>110.24021951109499</v>
          </cell>
          <cell r="AB470">
            <v>0</v>
          </cell>
        </row>
        <row r="471">
          <cell r="X471">
            <v>2676.48</v>
          </cell>
          <cell r="Z471" t="str">
            <v>RA</v>
          </cell>
          <cell r="AA471">
            <v>448.60387811995304</v>
          </cell>
          <cell r="AB471">
            <v>0</v>
          </cell>
        </row>
        <row r="472">
          <cell r="X472">
            <v>42.36</v>
          </cell>
          <cell r="Z472" t="str">
            <v>RA</v>
          </cell>
          <cell r="AA472">
            <v>7.0999448070455262</v>
          </cell>
          <cell r="AB472">
            <v>0</v>
          </cell>
        </row>
        <row r="473">
          <cell r="X473">
            <v>44.08</v>
          </cell>
          <cell r="Z473" t="str">
            <v>RA</v>
          </cell>
          <cell r="AA473">
            <v>7.3882334063873181</v>
          </cell>
          <cell r="AB473">
            <v>0</v>
          </cell>
        </row>
        <row r="474">
          <cell r="X474">
            <v>216630.94</v>
          </cell>
          <cell r="Z474" t="str">
            <v/>
          </cell>
          <cell r="AA474">
            <v>36309.43620156731</v>
          </cell>
          <cell r="AB474">
            <v>0</v>
          </cell>
        </row>
        <row r="475">
          <cell r="X475">
            <v>6236.09</v>
          </cell>
          <cell r="Z475" t="str">
            <v/>
          </cell>
          <cell r="AA475">
            <v>1045.2288671333458</v>
          </cell>
          <cell r="AB475">
            <v>0</v>
          </cell>
        </row>
        <row r="476">
          <cell r="X476">
            <v>27.16</v>
          </cell>
          <cell r="Z476" t="str">
            <v>RA</v>
          </cell>
          <cell r="AA476">
            <v>4.5522781151878311</v>
          </cell>
          <cell r="AB476">
            <v>0</v>
          </cell>
        </row>
        <row r="477">
          <cell r="X477">
            <v>10</v>
          </cell>
          <cell r="Z477" t="str">
            <v>RA</v>
          </cell>
          <cell r="AA477">
            <v>1.6760965078011159</v>
          </cell>
          <cell r="AB477">
            <v>0</v>
          </cell>
        </row>
        <row r="478">
          <cell r="X478">
            <v>5146</v>
          </cell>
          <cell r="Z478" t="str">
            <v>RA</v>
          </cell>
          <cell r="AA478">
            <v>862.5192629144542</v>
          </cell>
          <cell r="AB478">
            <v>0</v>
          </cell>
        </row>
        <row r="479">
          <cell r="X479">
            <v>688.77</v>
          </cell>
          <cell r="Z479" t="str">
            <v>RA</v>
          </cell>
          <cell r="AA479">
            <v>115.44449916781745</v>
          </cell>
          <cell r="AB479">
            <v>0</v>
          </cell>
        </row>
        <row r="480">
          <cell r="X480">
            <v>26.54</v>
          </cell>
          <cell r="Z480" t="str">
            <v>RA</v>
          </cell>
          <cell r="AA480">
            <v>4.4483601317041614</v>
          </cell>
          <cell r="AB480">
            <v>0</v>
          </cell>
        </row>
        <row r="481">
          <cell r="X481">
            <v>54.2</v>
          </cell>
          <cell r="Z481" t="str">
            <v>RA</v>
          </cell>
          <cell r="AA481">
            <v>9.0844430722820491</v>
          </cell>
          <cell r="AB481">
            <v>0</v>
          </cell>
        </row>
        <row r="482">
          <cell r="X482">
            <v>28.46</v>
          </cell>
          <cell r="Z482" t="str">
            <v>RA</v>
          </cell>
          <cell r="AA482">
            <v>4.7701706612019761</v>
          </cell>
          <cell r="AB482">
            <v>0</v>
          </cell>
        </row>
        <row r="483">
          <cell r="X483">
            <v>80.64</v>
          </cell>
          <cell r="Z483" t="str">
            <v>RA</v>
          </cell>
          <cell r="AA483">
            <v>13.516042238908199</v>
          </cell>
          <cell r="AB483">
            <v>0</v>
          </cell>
        </row>
        <row r="484">
          <cell r="X484">
            <v>174.32</v>
          </cell>
          <cell r="Z484" t="str">
            <v>RA</v>
          </cell>
          <cell r="AA484">
            <v>29.21771432398905</v>
          </cell>
          <cell r="AB484">
            <v>0</v>
          </cell>
        </row>
        <row r="485">
          <cell r="X485">
            <v>16073.99</v>
          </cell>
          <cell r="Z485" t="str">
            <v/>
          </cell>
          <cell r="AA485">
            <v>2694.1558505430062</v>
          </cell>
          <cell r="AB485">
            <v>0</v>
          </cell>
        </row>
        <row r="486">
          <cell r="X486">
            <v>5767.5</v>
          </cell>
          <cell r="Z486" t="str">
            <v>RA</v>
          </cell>
          <cell r="AA486">
            <v>966.68866087429353</v>
          </cell>
          <cell r="AB486">
            <v>0</v>
          </cell>
        </row>
        <row r="487">
          <cell r="X487">
            <v>409.06</v>
          </cell>
          <cell r="Z487" t="str">
            <v>RA</v>
          </cell>
          <cell r="AA487">
            <v>68.562403748112445</v>
          </cell>
          <cell r="AB487">
            <v>0</v>
          </cell>
        </row>
        <row r="488">
          <cell r="X488">
            <v>1425.98</v>
          </cell>
          <cell r="Z488" t="str">
            <v>RA</v>
          </cell>
          <cell r="AA488">
            <v>239.00800981942353</v>
          </cell>
          <cell r="AB488">
            <v>0</v>
          </cell>
        </row>
        <row r="489">
          <cell r="X489">
            <v>1864.08</v>
          </cell>
          <cell r="Z489" t="str">
            <v>RA</v>
          </cell>
          <cell r="AA489">
            <v>312.43779782619038</v>
          </cell>
          <cell r="AB489">
            <v>0</v>
          </cell>
        </row>
        <row r="490">
          <cell r="X490">
            <v>133.6</v>
          </cell>
          <cell r="Z490" t="str">
            <v>RA</v>
          </cell>
          <cell r="AA490">
            <v>22.392649344222907</v>
          </cell>
          <cell r="AB490">
            <v>0</v>
          </cell>
        </row>
        <row r="491">
          <cell r="X491">
            <v>5531.1</v>
          </cell>
          <cell r="Z491" t="str">
            <v>RA</v>
          </cell>
          <cell r="AA491">
            <v>927.06573942987529</v>
          </cell>
          <cell r="AB491">
            <v>0</v>
          </cell>
        </row>
        <row r="492">
          <cell r="X492">
            <v>55.68</v>
          </cell>
          <cell r="Z492" t="str">
            <v>RA</v>
          </cell>
          <cell r="AA492">
            <v>9.3325053554366129</v>
          </cell>
          <cell r="AB492">
            <v>0</v>
          </cell>
        </row>
        <row r="493">
          <cell r="X493">
            <v>102.3</v>
          </cell>
          <cell r="Z493" t="str">
            <v>RA</v>
          </cell>
          <cell r="AA493">
            <v>17.146467274805413</v>
          </cell>
          <cell r="AB493">
            <v>0</v>
          </cell>
        </row>
        <row r="494">
          <cell r="X494">
            <v>79.45</v>
          </cell>
          <cell r="Z494" t="str">
            <v>RA</v>
          </cell>
          <cell r="AA494">
            <v>13.316586754479866</v>
          </cell>
          <cell r="AB494">
            <v>0</v>
          </cell>
        </row>
        <row r="495">
          <cell r="X495">
            <v>39.51</v>
          </cell>
          <cell r="Z495" t="str">
            <v>RA</v>
          </cell>
          <cell r="AA495">
            <v>6.6222573023222084</v>
          </cell>
          <cell r="AB495">
            <v>0</v>
          </cell>
        </row>
        <row r="496">
          <cell r="X496">
            <v>86.05</v>
          </cell>
          <cell r="Z496" t="str">
            <v>RA</v>
          </cell>
          <cell r="AA496">
            <v>14.422810449628601</v>
          </cell>
          <cell r="AB496">
            <v>0</v>
          </cell>
        </row>
        <row r="497">
          <cell r="X497">
            <v>198.75</v>
          </cell>
          <cell r="Z497" t="str">
            <v>RA</v>
          </cell>
          <cell r="AA497">
            <v>33.312418092547176</v>
          </cell>
          <cell r="AB497">
            <v>0</v>
          </cell>
        </row>
        <row r="498">
          <cell r="X498">
            <v>127.6</v>
          </cell>
          <cell r="Z498" t="str">
            <v>RA</v>
          </cell>
          <cell r="AA498">
            <v>21.386991439542236</v>
          </cell>
          <cell r="AB498">
            <v>0</v>
          </cell>
        </row>
        <row r="499">
          <cell r="X499">
            <v>192.48</v>
          </cell>
          <cell r="Z499" t="str">
            <v>RA</v>
          </cell>
          <cell r="AA499">
            <v>32.261505582155877</v>
          </cell>
          <cell r="AB499">
            <v>0</v>
          </cell>
        </row>
        <row r="500">
          <cell r="X500">
            <v>9.24</v>
          </cell>
          <cell r="Z500" t="str">
            <v>RA</v>
          </cell>
          <cell r="AA500">
            <v>1.5487131732082311</v>
          </cell>
          <cell r="AB500">
            <v>0</v>
          </cell>
        </row>
        <row r="501">
          <cell r="X501">
            <v>9.3000000000000007</v>
          </cell>
          <cell r="Z501" t="str">
            <v>RA</v>
          </cell>
          <cell r="AA501">
            <v>1.5587697522550379</v>
          </cell>
          <cell r="AB501">
            <v>0</v>
          </cell>
        </row>
        <row r="502">
          <cell r="X502">
            <v>42.31</v>
          </cell>
          <cell r="Z502" t="str">
            <v>RA</v>
          </cell>
          <cell r="AA502">
            <v>7.0915643245065212</v>
          </cell>
          <cell r="AB502">
            <v>0</v>
          </cell>
        </row>
        <row r="503">
          <cell r="X503">
            <v>74618.61</v>
          </cell>
          <cell r="Z503" t="str">
            <v/>
          </cell>
          <cell r="AA503">
            <v>12506.799163797343</v>
          </cell>
          <cell r="AB503">
            <v>0</v>
          </cell>
        </row>
        <row r="504">
          <cell r="X504">
            <v>11760.42</v>
          </cell>
          <cell r="Z504" t="str">
            <v>RA</v>
          </cell>
          <cell r="AA504">
            <v>1971.1598892274399</v>
          </cell>
          <cell r="AB504">
            <v>0</v>
          </cell>
        </row>
        <row r="505">
          <cell r="X505">
            <v>411.07</v>
          </cell>
          <cell r="Z505" t="str">
            <v>RA</v>
          </cell>
          <cell r="AA505">
            <v>68.899299146180468</v>
          </cell>
          <cell r="AB505">
            <v>0</v>
          </cell>
        </row>
        <row r="506">
          <cell r="X506">
            <v>1471.37</v>
          </cell>
          <cell r="Z506" t="str">
            <v>RA</v>
          </cell>
          <cell r="AA506">
            <v>246.61581186833277</v>
          </cell>
          <cell r="AB506">
            <v>0</v>
          </cell>
        </row>
        <row r="507">
          <cell r="X507">
            <v>5946.42</v>
          </cell>
          <cell r="Z507" t="str">
            <v>RA</v>
          </cell>
          <cell r="AA507">
            <v>996.67737959187116</v>
          </cell>
          <cell r="AB507">
            <v>0</v>
          </cell>
        </row>
        <row r="508">
          <cell r="X508">
            <v>1917.98</v>
          </cell>
          <cell r="Z508" t="str">
            <v>RA</v>
          </cell>
          <cell r="AA508">
            <v>321.4719580032384</v>
          </cell>
          <cell r="AB508">
            <v>0</v>
          </cell>
        </row>
        <row r="509">
          <cell r="X509">
            <v>14831.69</v>
          </cell>
          <cell r="Z509" t="str">
            <v>RA</v>
          </cell>
          <cell r="AA509">
            <v>2485.9343813788732</v>
          </cell>
          <cell r="AB509">
            <v>0</v>
          </cell>
        </row>
        <row r="510">
          <cell r="X510">
            <v>23539.63</v>
          </cell>
          <cell r="Z510" t="str">
            <v>RA</v>
          </cell>
          <cell r="AA510">
            <v>3945.4691637930382</v>
          </cell>
          <cell r="AB510">
            <v>0</v>
          </cell>
        </row>
        <row r="511">
          <cell r="X511">
            <v>7784.67</v>
          </cell>
          <cell r="Z511" t="str">
            <v>RA</v>
          </cell>
          <cell r="AA511">
            <v>1304.7858201384113</v>
          </cell>
          <cell r="AB511">
            <v>0</v>
          </cell>
        </row>
        <row r="512">
          <cell r="X512">
            <v>1032.52</v>
          </cell>
          <cell r="Z512" t="str">
            <v>RA</v>
          </cell>
          <cell r="AA512">
            <v>173.06031662348082</v>
          </cell>
          <cell r="AB512">
            <v>0</v>
          </cell>
        </row>
        <row r="513">
          <cell r="X513">
            <v>5922.84</v>
          </cell>
          <cell r="Z513" t="str">
            <v>RA</v>
          </cell>
          <cell r="AA513">
            <v>992.72514402647607</v>
          </cell>
          <cell r="AB513">
            <v>0</v>
          </cell>
        </row>
        <row r="514">
          <cell r="X514">
            <v>3468.96</v>
          </cell>
          <cell r="Z514" t="str">
            <v/>
          </cell>
          <cell r="AA514">
            <v>581.43117417017584</v>
          </cell>
          <cell r="AB514">
            <v>0</v>
          </cell>
        </row>
        <row r="515">
          <cell r="X515">
            <v>2544.12</v>
          </cell>
          <cell r="Z515" t="str">
            <v>RA</v>
          </cell>
          <cell r="AA515">
            <v>426.41906474269746</v>
          </cell>
          <cell r="AB515">
            <v>0</v>
          </cell>
        </row>
        <row r="516">
          <cell r="X516">
            <v>924.84</v>
          </cell>
          <cell r="Z516" t="str">
            <v>RA</v>
          </cell>
          <cell r="AA516">
            <v>155.01210942747841</v>
          </cell>
          <cell r="AB516">
            <v>0</v>
          </cell>
        </row>
        <row r="517">
          <cell r="X517">
            <v>10593.75</v>
          </cell>
          <cell r="Z517" t="str">
            <v/>
          </cell>
          <cell r="AA517">
            <v>1775.6147379518075</v>
          </cell>
          <cell r="AB517">
            <v>0</v>
          </cell>
        </row>
        <row r="518">
          <cell r="X518">
            <v>473.67</v>
          </cell>
          <cell r="Z518" t="str">
            <v>RA</v>
          </cell>
          <cell r="AA518">
            <v>79.391663285015454</v>
          </cell>
          <cell r="AB518">
            <v>0</v>
          </cell>
        </row>
        <row r="519">
          <cell r="X519">
            <v>735.76</v>
          </cell>
          <cell r="Z519" t="str">
            <v>RA</v>
          </cell>
          <cell r="AA519">
            <v>123.32047665797489</v>
          </cell>
          <cell r="AB519">
            <v>0</v>
          </cell>
        </row>
        <row r="520">
          <cell r="X520">
            <v>198</v>
          </cell>
          <cell r="Z520" t="str">
            <v>RA</v>
          </cell>
          <cell r="AA520">
            <v>33.186710854462092</v>
          </cell>
          <cell r="AB520">
            <v>0</v>
          </cell>
        </row>
        <row r="521">
          <cell r="X521">
            <v>88.75</v>
          </cell>
          <cell r="Z521" t="str">
            <v>RA</v>
          </cell>
          <cell r="AA521">
            <v>14.875356506734903</v>
          </cell>
          <cell r="AB521">
            <v>0</v>
          </cell>
        </row>
        <row r="522">
          <cell r="X522">
            <v>150.58000000000001</v>
          </cell>
          <cell r="Z522" t="str">
            <v>RA</v>
          </cell>
          <cell r="AA522">
            <v>25.238661214469204</v>
          </cell>
          <cell r="AB522">
            <v>0</v>
          </cell>
        </row>
        <row r="523">
          <cell r="X523">
            <v>4941.18</v>
          </cell>
          <cell r="Z523" t="str">
            <v>RA</v>
          </cell>
          <cell r="AA523">
            <v>828.1894542416718</v>
          </cell>
          <cell r="AB523">
            <v>0</v>
          </cell>
        </row>
        <row r="524">
          <cell r="X524">
            <v>379.4</v>
          </cell>
          <cell r="Z524" t="str">
            <v>RA</v>
          </cell>
          <cell r="AA524">
            <v>63.591101505974329</v>
          </cell>
          <cell r="AB524">
            <v>0</v>
          </cell>
        </row>
        <row r="525">
          <cell r="X525">
            <v>98.03</v>
          </cell>
          <cell r="Z525" t="str">
            <v>RA</v>
          </cell>
          <cell r="AA525">
            <v>16.43077406597434</v>
          </cell>
          <cell r="AB525">
            <v>0</v>
          </cell>
        </row>
        <row r="526">
          <cell r="X526">
            <v>487.92</v>
          </cell>
          <cell r="Z526" t="str">
            <v>RA</v>
          </cell>
          <cell r="AA526">
            <v>81.780100808632042</v>
          </cell>
          <cell r="AB526">
            <v>0</v>
          </cell>
        </row>
        <row r="527">
          <cell r="X527">
            <v>1251.2</v>
          </cell>
          <cell r="Z527" t="str">
            <v>RA</v>
          </cell>
          <cell r="AA527">
            <v>209.71319505607562</v>
          </cell>
          <cell r="AB527">
            <v>0</v>
          </cell>
        </row>
        <row r="528">
          <cell r="X528">
            <v>1789.26</v>
          </cell>
          <cell r="Z528" t="str">
            <v>RA</v>
          </cell>
          <cell r="AA528">
            <v>299.89724375482245</v>
          </cell>
          <cell r="AB528">
            <v>0</v>
          </cell>
        </row>
        <row r="529">
          <cell r="X529">
            <v>4776.18</v>
          </cell>
          <cell r="Z529" t="str">
            <v/>
          </cell>
          <cell r="AA529">
            <v>800.53386186295324</v>
          </cell>
          <cell r="AB529">
            <v>0</v>
          </cell>
        </row>
        <row r="530">
          <cell r="X530">
            <v>724.22</v>
          </cell>
          <cell r="Z530" t="str">
            <v>RA</v>
          </cell>
          <cell r="AA530">
            <v>121.38626128797242</v>
          </cell>
          <cell r="AB530">
            <v>0</v>
          </cell>
        </row>
        <row r="531">
          <cell r="X531">
            <v>221.44</v>
          </cell>
          <cell r="Z531" t="str">
            <v>RA</v>
          </cell>
          <cell r="AA531">
            <v>37.115481068747911</v>
          </cell>
          <cell r="AB531">
            <v>0</v>
          </cell>
        </row>
        <row r="532">
          <cell r="X532">
            <v>77.72</v>
          </cell>
          <cell r="Z532" t="str">
            <v>RA</v>
          </cell>
          <cell r="AA532">
            <v>13.026622058630272</v>
          </cell>
          <cell r="AB532">
            <v>0</v>
          </cell>
        </row>
        <row r="533">
          <cell r="X533">
            <v>523.49</v>
          </cell>
          <cell r="Z533" t="str">
            <v>RA</v>
          </cell>
          <cell r="AA533">
            <v>87.741976086880612</v>
          </cell>
          <cell r="AB533">
            <v>0</v>
          </cell>
        </row>
        <row r="534">
          <cell r="X534">
            <v>262.17</v>
          </cell>
          <cell r="Z534" t="str">
            <v>RA</v>
          </cell>
          <cell r="AA534">
            <v>43.942222145021859</v>
          </cell>
          <cell r="AB534">
            <v>0</v>
          </cell>
        </row>
        <row r="535">
          <cell r="X535">
            <v>221.22</v>
          </cell>
          <cell r="Z535" t="str">
            <v>RA</v>
          </cell>
          <cell r="AA535">
            <v>37.078606945576283</v>
          </cell>
          <cell r="AB535">
            <v>0</v>
          </cell>
        </row>
        <row r="536">
          <cell r="X536">
            <v>491.44</v>
          </cell>
          <cell r="Z536" t="str">
            <v>RA</v>
          </cell>
          <cell r="AA536">
            <v>82.370086779378042</v>
          </cell>
          <cell r="AB536">
            <v>0</v>
          </cell>
        </row>
        <row r="537">
          <cell r="X537">
            <v>1579.04</v>
          </cell>
          <cell r="Z537" t="str">
            <v>RA</v>
          </cell>
          <cell r="AA537">
            <v>264.66234296782739</v>
          </cell>
          <cell r="AB537">
            <v>0</v>
          </cell>
        </row>
        <row r="538">
          <cell r="X538">
            <v>213.86</v>
          </cell>
          <cell r="Z538" t="str">
            <v>RA</v>
          </cell>
          <cell r="AA538">
            <v>35.844999915834663</v>
          </cell>
          <cell r="AB538">
            <v>0</v>
          </cell>
        </row>
        <row r="539">
          <cell r="X539">
            <v>461.58</v>
          </cell>
          <cell r="Z539" t="str">
            <v>RA</v>
          </cell>
          <cell r="AA539">
            <v>77.365262607083906</v>
          </cell>
          <cell r="AB539">
            <v>0</v>
          </cell>
        </row>
        <row r="540">
          <cell r="X540">
            <v>30096.720000000001</v>
          </cell>
          <cell r="Z540" t="str">
            <v/>
          </cell>
          <cell r="AA540">
            <v>5044.5007288267998</v>
          </cell>
          <cell r="AB540">
            <v>0</v>
          </cell>
        </row>
        <row r="541">
          <cell r="X541">
            <v>547.29</v>
          </cell>
          <cell r="Z541" t="str">
            <v>RA</v>
          </cell>
          <cell r="AA541">
            <v>91.731085775447269</v>
          </cell>
          <cell r="AB541">
            <v>0</v>
          </cell>
        </row>
        <row r="542">
          <cell r="X542">
            <v>471.66</v>
          </cell>
          <cell r="Z542" t="str">
            <v>RA</v>
          </cell>
          <cell r="AA542">
            <v>79.054767886947431</v>
          </cell>
          <cell r="AB542">
            <v>0</v>
          </cell>
        </row>
        <row r="543">
          <cell r="X543">
            <v>4764</v>
          </cell>
          <cell r="Z543" t="str">
            <v>RA</v>
          </cell>
          <cell r="AA543">
            <v>798.49237631645155</v>
          </cell>
          <cell r="AB543">
            <v>0</v>
          </cell>
        </row>
        <row r="544">
          <cell r="X544">
            <v>24111</v>
          </cell>
          <cell r="Z544" t="str">
            <v>RA</v>
          </cell>
          <cell r="AA544">
            <v>4041.2362899592704</v>
          </cell>
          <cell r="AB544">
            <v>0</v>
          </cell>
        </row>
        <row r="545">
          <cell r="X545">
            <v>202.77</v>
          </cell>
          <cell r="Z545" t="str">
            <v>RA</v>
          </cell>
          <cell r="AA545">
            <v>33.98620888868323</v>
          </cell>
          <cell r="AB545">
            <v>0</v>
          </cell>
        </row>
        <row r="546">
          <cell r="X546">
            <v>22178.42</v>
          </cell>
          <cell r="Z546" t="str">
            <v/>
          </cell>
          <cell r="AA546">
            <v>3717.317231054642</v>
          </cell>
          <cell r="AB546">
            <v>0</v>
          </cell>
        </row>
        <row r="547">
          <cell r="X547">
            <v>3242.23</v>
          </cell>
          <cell r="Z547" t="str">
            <v>RA</v>
          </cell>
          <cell r="AA547">
            <v>543.4290380488012</v>
          </cell>
          <cell r="AB547">
            <v>0</v>
          </cell>
        </row>
        <row r="548">
          <cell r="X548">
            <v>14410.92</v>
          </cell>
          <cell r="Z548" t="str">
            <v>RA</v>
          </cell>
          <cell r="AA548">
            <v>2415.4092686201257</v>
          </cell>
          <cell r="AB548">
            <v>0</v>
          </cell>
        </row>
        <row r="549">
          <cell r="X549">
            <v>148.18</v>
          </cell>
          <cell r="Z549" t="str">
            <v>RA</v>
          </cell>
          <cell r="AA549">
            <v>24.836398052596937</v>
          </cell>
          <cell r="AB549">
            <v>0</v>
          </cell>
        </row>
        <row r="550">
          <cell r="X550">
            <v>57.42</v>
          </cell>
          <cell r="Z550" t="str">
            <v>RA</v>
          </cell>
          <cell r="AA550">
            <v>9.6241461477940078</v>
          </cell>
          <cell r="AB550">
            <v>0</v>
          </cell>
        </row>
        <row r="551">
          <cell r="X551">
            <v>389.28</v>
          </cell>
          <cell r="Z551" t="str">
            <v>RA</v>
          </cell>
          <cell r="AA551">
            <v>65.247084855681834</v>
          </cell>
          <cell r="AB551">
            <v>0</v>
          </cell>
        </row>
        <row r="552">
          <cell r="X552">
            <v>405.52</v>
          </cell>
          <cell r="Z552" t="str">
            <v>RA</v>
          </cell>
          <cell r="AA552">
            <v>67.969065584350844</v>
          </cell>
          <cell r="AB552">
            <v>0</v>
          </cell>
        </row>
        <row r="553">
          <cell r="X553">
            <v>3028.41</v>
          </cell>
          <cell r="Z553" t="str">
            <v>RA</v>
          </cell>
          <cell r="AA553">
            <v>507.59074251899773</v>
          </cell>
          <cell r="AB553">
            <v>0</v>
          </cell>
        </row>
        <row r="554">
          <cell r="X554">
            <v>496.46</v>
          </cell>
          <cell r="Z554" t="str">
            <v>RA</v>
          </cell>
          <cell r="AA554">
            <v>83.211487226294196</v>
          </cell>
          <cell r="AB554">
            <v>0</v>
          </cell>
        </row>
        <row r="555">
          <cell r="X555">
            <v>22180.12</v>
          </cell>
          <cell r="Z555" t="str">
            <v/>
          </cell>
          <cell r="AA555">
            <v>3717.6021674609683</v>
          </cell>
          <cell r="AB555">
            <v>0</v>
          </cell>
        </row>
        <row r="556">
          <cell r="X556">
            <v>4697.5</v>
          </cell>
          <cell r="Z556" t="str">
            <v>RA</v>
          </cell>
          <cell r="AA556">
            <v>787.34633453957417</v>
          </cell>
          <cell r="AB556">
            <v>0</v>
          </cell>
        </row>
        <row r="557">
          <cell r="X557">
            <v>17482.62</v>
          </cell>
          <cell r="Z557" t="str">
            <v>RA</v>
          </cell>
          <cell r="AA557">
            <v>2930.2558329213944</v>
          </cell>
          <cell r="AB557">
            <v>0</v>
          </cell>
        </row>
        <row r="558">
          <cell r="X558">
            <v>17041.560000000001</v>
          </cell>
          <cell r="Z558" t="str">
            <v/>
          </cell>
          <cell r="AA558">
            <v>2856.3299203483184</v>
          </cell>
          <cell r="AB558">
            <v>0</v>
          </cell>
        </row>
        <row r="559">
          <cell r="X559">
            <v>358.2</v>
          </cell>
          <cell r="Z559" t="str">
            <v>RA</v>
          </cell>
          <cell r="AA559">
            <v>60.037776909435969</v>
          </cell>
          <cell r="AB559">
            <v>0</v>
          </cell>
        </row>
        <row r="560">
          <cell r="X560">
            <v>6565.58</v>
          </cell>
          <cell r="Z560" t="str">
            <v>RA</v>
          </cell>
          <cell r="AA560">
            <v>1100.454570968885</v>
          </cell>
          <cell r="AB560">
            <v>0</v>
          </cell>
        </row>
        <row r="561">
          <cell r="X561">
            <v>4424.63</v>
          </cell>
          <cell r="Z561" t="str">
            <v>RA</v>
          </cell>
          <cell r="AA561">
            <v>741.61068913120516</v>
          </cell>
          <cell r="AB561">
            <v>0</v>
          </cell>
        </row>
        <row r="562">
          <cell r="X562">
            <v>638.85</v>
          </cell>
          <cell r="Z562" t="str">
            <v>RA</v>
          </cell>
          <cell r="AA562">
            <v>107.07742540087429</v>
          </cell>
          <cell r="AB562">
            <v>0</v>
          </cell>
        </row>
        <row r="563">
          <cell r="X563">
            <v>794.2</v>
          </cell>
          <cell r="Z563" t="str">
            <v>RA</v>
          </cell>
          <cell r="AA563">
            <v>133.11558464956462</v>
          </cell>
          <cell r="AB563">
            <v>0</v>
          </cell>
        </row>
        <row r="564">
          <cell r="X564">
            <v>1362.06</v>
          </cell>
          <cell r="Z564" t="str">
            <v>RA</v>
          </cell>
          <cell r="AA564">
            <v>228.29440094155876</v>
          </cell>
          <cell r="AB564">
            <v>0</v>
          </cell>
        </row>
        <row r="565">
          <cell r="X565">
            <v>1253.0999999999999</v>
          </cell>
          <cell r="Z565" t="str">
            <v>RA</v>
          </cell>
          <cell r="AA565">
            <v>210.03165339255781</v>
          </cell>
          <cell r="AB565">
            <v>0</v>
          </cell>
        </row>
        <row r="566">
          <cell r="X566">
            <v>267.7</v>
          </cell>
          <cell r="Z566" t="str">
            <v>RA</v>
          </cell>
          <cell r="AA566">
            <v>44.869103513835867</v>
          </cell>
          <cell r="AB566">
            <v>0</v>
          </cell>
        </row>
        <row r="567">
          <cell r="X567">
            <v>1377.24</v>
          </cell>
          <cell r="Z567" t="str">
            <v>RA</v>
          </cell>
          <cell r="AA567">
            <v>230.83871544040088</v>
          </cell>
          <cell r="AB567">
            <v>0</v>
          </cell>
        </row>
        <row r="568">
          <cell r="X568">
            <v>9366.5400000000009</v>
          </cell>
          <cell r="Z568" t="str">
            <v/>
          </cell>
          <cell r="AA568">
            <v>1569.9224984179464</v>
          </cell>
          <cell r="AB568">
            <v>0</v>
          </cell>
        </row>
        <row r="569">
          <cell r="X569">
            <v>2366.08</v>
          </cell>
          <cell r="Z569" t="str">
            <v>RA</v>
          </cell>
          <cell r="AA569">
            <v>396.5778425178064</v>
          </cell>
          <cell r="AB569">
            <v>0</v>
          </cell>
        </row>
        <row r="570">
          <cell r="X570">
            <v>961.96</v>
          </cell>
          <cell r="Z570" t="str">
            <v>RA</v>
          </cell>
          <cell r="AA570">
            <v>161.23377966443616</v>
          </cell>
          <cell r="AB570">
            <v>0</v>
          </cell>
        </row>
        <row r="571">
          <cell r="X571">
            <v>2840.46</v>
          </cell>
          <cell r="Z571" t="str">
            <v>RA</v>
          </cell>
          <cell r="AA571">
            <v>476.08850865487574</v>
          </cell>
          <cell r="AB571">
            <v>0</v>
          </cell>
        </row>
        <row r="572">
          <cell r="X572">
            <v>584.85</v>
          </cell>
          <cell r="Z572" t="str">
            <v>RA</v>
          </cell>
          <cell r="AA572">
            <v>98.026504258748261</v>
          </cell>
          <cell r="AB572">
            <v>0</v>
          </cell>
        </row>
        <row r="573">
          <cell r="X573">
            <v>2613.19</v>
          </cell>
          <cell r="Z573" t="str">
            <v>RA</v>
          </cell>
          <cell r="AA573">
            <v>437.9958633220798</v>
          </cell>
          <cell r="AB573">
            <v>0</v>
          </cell>
        </row>
        <row r="574">
          <cell r="X574">
            <v>62791.18</v>
          </cell>
          <cell r="Z574" t="str">
            <v/>
          </cell>
          <cell r="AA574">
            <v>10524.407751871127</v>
          </cell>
          <cell r="AB574">
            <v>0</v>
          </cell>
        </row>
        <row r="575">
          <cell r="X575">
            <v>14882.97</v>
          </cell>
          <cell r="Z575" t="str">
            <v/>
          </cell>
          <cell r="AA575">
            <v>2494.5294042708774</v>
          </cell>
          <cell r="AB575">
            <v>0</v>
          </cell>
        </row>
        <row r="576">
          <cell r="X576">
            <v>5928.93</v>
          </cell>
          <cell r="Z576" t="str">
            <v>RA</v>
          </cell>
          <cell r="AA576">
            <v>993.74588679972703</v>
          </cell>
          <cell r="AB576">
            <v>0</v>
          </cell>
        </row>
        <row r="577">
          <cell r="X577">
            <v>3559.2</v>
          </cell>
          <cell r="Z577" t="str">
            <v>RA</v>
          </cell>
          <cell r="AA577">
            <v>596.55626905657311</v>
          </cell>
          <cell r="AB577">
            <v>0</v>
          </cell>
        </row>
        <row r="578">
          <cell r="X578">
            <v>3057</v>
          </cell>
          <cell r="Z578" t="str">
            <v>RA</v>
          </cell>
          <cell r="AA578">
            <v>512.3827024348011</v>
          </cell>
          <cell r="AB578">
            <v>0</v>
          </cell>
        </row>
        <row r="579">
          <cell r="X579">
            <v>188.11</v>
          </cell>
          <cell r="Z579" t="str">
            <v>RA</v>
          </cell>
          <cell r="AA579">
            <v>31.529051408246794</v>
          </cell>
          <cell r="AB579">
            <v>0</v>
          </cell>
        </row>
        <row r="580">
          <cell r="X580">
            <v>76.38</v>
          </cell>
          <cell r="Z580" t="str">
            <v>RA</v>
          </cell>
          <cell r="AA580">
            <v>12.802025126584923</v>
          </cell>
          <cell r="AB580">
            <v>0</v>
          </cell>
        </row>
        <row r="581">
          <cell r="X581">
            <v>243.43</v>
          </cell>
          <cell r="Z581" t="str">
            <v>RA</v>
          </cell>
          <cell r="AA581">
            <v>40.801217289402565</v>
          </cell>
          <cell r="AB581">
            <v>0</v>
          </cell>
        </row>
        <row r="582">
          <cell r="X582">
            <v>1783.06</v>
          </cell>
          <cell r="Z582" t="str">
            <v>RA</v>
          </cell>
          <cell r="AA582">
            <v>298.85806391998574</v>
          </cell>
          <cell r="AB582">
            <v>0</v>
          </cell>
        </row>
        <row r="583">
          <cell r="X583">
            <v>46.86</v>
          </cell>
          <cell r="Z583" t="str">
            <v>RA</v>
          </cell>
          <cell r="AA583">
            <v>7.8541882355560286</v>
          </cell>
          <cell r="AB583">
            <v>0</v>
          </cell>
        </row>
        <row r="584">
          <cell r="X584">
            <v>6391.36</v>
          </cell>
          <cell r="Z584" t="str">
            <v/>
          </cell>
          <cell r="AA584">
            <v>1071.2536176099741</v>
          </cell>
          <cell r="AB584">
            <v>0</v>
          </cell>
        </row>
        <row r="585">
          <cell r="X585">
            <v>525.12</v>
          </cell>
          <cell r="Z585" t="str">
            <v>RA</v>
          </cell>
          <cell r="AA585">
            <v>88.015179817652196</v>
          </cell>
          <cell r="AB585">
            <v>0</v>
          </cell>
        </row>
        <row r="586">
          <cell r="X586">
            <v>1250</v>
          </cell>
          <cell r="Z586" t="str">
            <v>RA</v>
          </cell>
          <cell r="AA586">
            <v>209.51206347513948</v>
          </cell>
          <cell r="AB586">
            <v>0</v>
          </cell>
        </row>
        <row r="587">
          <cell r="X587">
            <v>130.32</v>
          </cell>
          <cell r="Z587" t="str">
            <v>RA</v>
          </cell>
          <cell r="AA587">
            <v>21.84288968966414</v>
          </cell>
          <cell r="AB587">
            <v>0</v>
          </cell>
        </row>
        <row r="588">
          <cell r="X588">
            <v>908.48</v>
          </cell>
          <cell r="Z588" t="str">
            <v>RA</v>
          </cell>
          <cell r="AA588">
            <v>152.27001554071578</v>
          </cell>
          <cell r="AB588">
            <v>0</v>
          </cell>
        </row>
        <row r="589">
          <cell r="X589">
            <v>341.28</v>
          </cell>
          <cell r="Z589" t="str">
            <v>RA</v>
          </cell>
          <cell r="AA589">
            <v>57.20182161823648</v>
          </cell>
          <cell r="AB589">
            <v>0</v>
          </cell>
        </row>
        <row r="590">
          <cell r="X590">
            <v>607.44000000000005</v>
          </cell>
          <cell r="Z590" t="str">
            <v>RA</v>
          </cell>
          <cell r="AA590">
            <v>101.81280626987099</v>
          </cell>
          <cell r="AB590">
            <v>0</v>
          </cell>
        </row>
        <row r="591">
          <cell r="X591">
            <v>2628.72</v>
          </cell>
          <cell r="Z591" t="str">
            <v>RA</v>
          </cell>
          <cell r="AA591">
            <v>440.59884119869491</v>
          </cell>
          <cell r="AB591">
            <v>0</v>
          </cell>
        </row>
        <row r="592">
          <cell r="X592">
            <v>3441.3</v>
          </cell>
          <cell r="Z592" t="str">
            <v/>
          </cell>
          <cell r="AA592">
            <v>576.79509122959803</v>
          </cell>
          <cell r="AB592">
            <v>0</v>
          </cell>
        </row>
        <row r="593">
          <cell r="X593">
            <v>3441.3</v>
          </cell>
          <cell r="Z593" t="str">
            <v>RA</v>
          </cell>
          <cell r="AA593">
            <v>576.79509122959803</v>
          </cell>
          <cell r="AB593">
            <v>0</v>
          </cell>
        </row>
        <row r="594">
          <cell r="X594">
            <v>2216.39</v>
          </cell>
          <cell r="Z594" t="str">
            <v/>
          </cell>
          <cell r="AA594">
            <v>371.48835389253151</v>
          </cell>
          <cell r="AB594">
            <v>0</v>
          </cell>
        </row>
        <row r="595">
          <cell r="X595">
            <v>1794.1</v>
          </cell>
          <cell r="Z595" t="str">
            <v>RA</v>
          </cell>
          <cell r="AA595">
            <v>300.70847446459817</v>
          </cell>
          <cell r="AB595">
            <v>0</v>
          </cell>
        </row>
        <row r="596">
          <cell r="X596">
            <v>422.29</v>
          </cell>
          <cell r="Z596" t="str">
            <v>RA</v>
          </cell>
          <cell r="AA596">
            <v>70.779879427933324</v>
          </cell>
          <cell r="AB596">
            <v>0</v>
          </cell>
        </row>
        <row r="597">
          <cell r="X597">
            <v>28948.76</v>
          </cell>
          <cell r="Z597" t="str">
            <v/>
          </cell>
          <cell r="AA597">
            <v>4852.0915541172626</v>
          </cell>
          <cell r="AB597">
            <v>0</v>
          </cell>
        </row>
        <row r="598">
          <cell r="X598">
            <v>14732.55</v>
          </cell>
          <cell r="Z598" t="str">
            <v>RA</v>
          </cell>
          <cell r="AA598">
            <v>2469.3175606005329</v>
          </cell>
          <cell r="AB598">
            <v>0</v>
          </cell>
        </row>
        <row r="599">
          <cell r="X599">
            <v>6543.28</v>
          </cell>
          <cell r="Z599" t="str">
            <v>RA</v>
          </cell>
          <cell r="AA599">
            <v>1096.7168757564884</v>
          </cell>
          <cell r="AB599">
            <v>0</v>
          </cell>
        </row>
        <row r="600">
          <cell r="X600">
            <v>1625.5</v>
          </cell>
          <cell r="Z600" t="str">
            <v>RA</v>
          </cell>
          <cell r="AA600">
            <v>272.44948734307138</v>
          </cell>
          <cell r="AB600">
            <v>0</v>
          </cell>
        </row>
        <row r="601">
          <cell r="X601">
            <v>156.55000000000001</v>
          </cell>
          <cell r="Z601" t="str">
            <v>RA</v>
          </cell>
          <cell r="AA601">
            <v>26.239290829626469</v>
          </cell>
          <cell r="AB601">
            <v>0</v>
          </cell>
        </row>
        <row r="602">
          <cell r="X602">
            <v>280.75</v>
          </cell>
          <cell r="Z602" t="str">
            <v>RA</v>
          </cell>
          <cell r="AA602">
            <v>47.056409456516327</v>
          </cell>
          <cell r="AB602">
            <v>0</v>
          </cell>
        </row>
        <row r="603">
          <cell r="X603">
            <v>21.93</v>
          </cell>
          <cell r="Z603" t="str">
            <v>RA</v>
          </cell>
          <cell r="AA603">
            <v>3.675679641607847</v>
          </cell>
          <cell r="AB603">
            <v>0</v>
          </cell>
        </row>
        <row r="604">
          <cell r="X604">
            <v>45.06</v>
          </cell>
          <cell r="Z604" t="str">
            <v>RA</v>
          </cell>
          <cell r="AA604">
            <v>7.552490864151828</v>
          </cell>
          <cell r="AB604">
            <v>0</v>
          </cell>
        </row>
        <row r="605">
          <cell r="X605">
            <v>5543.14</v>
          </cell>
          <cell r="Z605" t="str">
            <v>RA</v>
          </cell>
          <cell r="AA605">
            <v>929.08375962526782</v>
          </cell>
          <cell r="AB605">
            <v>0</v>
          </cell>
        </row>
        <row r="606">
          <cell r="X606">
            <v>6910.4</v>
          </cell>
          <cell r="Z606" t="str">
            <v/>
          </cell>
          <cell r="AA606">
            <v>1158.2497307508831</v>
          </cell>
          <cell r="AB606">
            <v>0</v>
          </cell>
        </row>
        <row r="607">
          <cell r="X607">
            <v>6910.4</v>
          </cell>
          <cell r="Z607" t="str">
            <v>RA</v>
          </cell>
          <cell r="AA607">
            <v>1158.2497307508831</v>
          </cell>
          <cell r="AB607">
            <v>0</v>
          </cell>
        </row>
        <row r="608">
          <cell r="X608">
            <v>35120.89</v>
          </cell>
          <cell r="Z608" t="str">
            <v/>
          </cell>
          <cell r="AA608">
            <v>5886.6001079867146</v>
          </cell>
          <cell r="AB608">
            <v>0</v>
          </cell>
        </row>
        <row r="609">
          <cell r="X609">
            <v>1139.7</v>
          </cell>
          <cell r="Z609" t="str">
            <v>RA</v>
          </cell>
          <cell r="AA609">
            <v>191.02471899409318</v>
          </cell>
          <cell r="AB609">
            <v>0</v>
          </cell>
        </row>
        <row r="610">
          <cell r="X610">
            <v>1935.75</v>
          </cell>
          <cell r="Z610" t="str">
            <v>RA</v>
          </cell>
          <cell r="AA610">
            <v>324.45038149760103</v>
          </cell>
          <cell r="AB610">
            <v>0</v>
          </cell>
        </row>
        <row r="611">
          <cell r="X611">
            <v>1988.5</v>
          </cell>
          <cell r="Z611" t="str">
            <v>RA</v>
          </cell>
          <cell r="AA611">
            <v>333.29179057625191</v>
          </cell>
          <cell r="AB611">
            <v>0</v>
          </cell>
        </row>
        <row r="612">
          <cell r="X612">
            <v>19966.259999999998</v>
          </cell>
          <cell r="Z612" t="str">
            <v>RA</v>
          </cell>
          <cell r="AA612">
            <v>3346.5378659849107</v>
          </cell>
          <cell r="AB612">
            <v>0</v>
          </cell>
        </row>
        <row r="613">
          <cell r="X613">
            <v>1067.8800000000001</v>
          </cell>
          <cell r="Z613" t="str">
            <v>RA</v>
          </cell>
          <cell r="AA613">
            <v>178.98699387506556</v>
          </cell>
          <cell r="AB613">
            <v>0</v>
          </cell>
        </row>
        <row r="614">
          <cell r="X614">
            <v>1215.76</v>
          </cell>
          <cell r="Z614" t="str">
            <v>RA</v>
          </cell>
          <cell r="AA614">
            <v>203.77310903242847</v>
          </cell>
          <cell r="AB614">
            <v>0</v>
          </cell>
        </row>
        <row r="615">
          <cell r="X615">
            <v>393.12</v>
          </cell>
          <cell r="Z615" t="str">
            <v>RA</v>
          </cell>
          <cell r="AA615">
            <v>65.890705914677469</v>
          </cell>
          <cell r="AB615">
            <v>0</v>
          </cell>
        </row>
        <row r="616">
          <cell r="X616">
            <v>843.46</v>
          </cell>
          <cell r="Z616" t="str">
            <v>RA</v>
          </cell>
          <cell r="AA616">
            <v>141.37203604699292</v>
          </cell>
          <cell r="AB616">
            <v>0</v>
          </cell>
        </row>
        <row r="617">
          <cell r="X617">
            <v>438.04</v>
          </cell>
          <cell r="Z617" t="str">
            <v>RA</v>
          </cell>
          <cell r="AA617">
            <v>73.41973142772008</v>
          </cell>
          <cell r="AB617">
            <v>0</v>
          </cell>
        </row>
        <row r="618">
          <cell r="X618">
            <v>315.42</v>
          </cell>
          <cell r="Z618" t="str">
            <v>RA</v>
          </cell>
          <cell r="AA618">
            <v>52.867436049062796</v>
          </cell>
          <cell r="AB618">
            <v>0</v>
          </cell>
        </row>
        <row r="619">
          <cell r="X619">
            <v>873</v>
          </cell>
          <cell r="Z619" t="str">
            <v>RA</v>
          </cell>
          <cell r="AA619">
            <v>146.32322513103742</v>
          </cell>
          <cell r="AB619">
            <v>0</v>
          </cell>
        </row>
        <row r="620">
          <cell r="X620">
            <v>1995</v>
          </cell>
          <cell r="Z620" t="str">
            <v>RA</v>
          </cell>
          <cell r="AA620">
            <v>334.38125330632261</v>
          </cell>
          <cell r="AB620">
            <v>0</v>
          </cell>
        </row>
        <row r="621">
          <cell r="X621">
            <v>2949</v>
          </cell>
          <cell r="Z621" t="str">
            <v>RA</v>
          </cell>
          <cell r="AA621">
            <v>494.28086015054907</v>
          </cell>
          <cell r="AB621">
            <v>0</v>
          </cell>
        </row>
        <row r="622">
          <cell r="X622">
            <v>86439.77</v>
          </cell>
          <cell r="Z622" t="str">
            <v/>
          </cell>
          <cell r="AA622">
            <v>14488.139663213167</v>
          </cell>
          <cell r="AB622">
            <v>0</v>
          </cell>
        </row>
        <row r="623">
          <cell r="X623">
            <v>13637.19</v>
          </cell>
          <cell r="Z623" t="str">
            <v/>
          </cell>
          <cell r="AA623">
            <v>2285.7246535220297</v>
          </cell>
          <cell r="AB623">
            <v>0</v>
          </cell>
        </row>
        <row r="624">
          <cell r="X624">
            <v>138.88999999999999</v>
          </cell>
          <cell r="Z624" t="str">
            <v>RA</v>
          </cell>
          <cell r="AA624">
            <v>23.279304396849696</v>
          </cell>
          <cell r="AB624">
            <v>0</v>
          </cell>
        </row>
        <row r="625">
          <cell r="X625">
            <v>833.15</v>
          </cell>
          <cell r="Z625" t="str">
            <v>RA</v>
          </cell>
          <cell r="AA625">
            <v>139.64398054744996</v>
          </cell>
          <cell r="AB625">
            <v>0</v>
          </cell>
        </row>
        <row r="626">
          <cell r="X626">
            <v>2510.54</v>
          </cell>
          <cell r="Z626" t="str">
            <v>RA</v>
          </cell>
          <cell r="AA626">
            <v>420.79073266950132</v>
          </cell>
          <cell r="AB626">
            <v>0</v>
          </cell>
        </row>
        <row r="627">
          <cell r="X627">
            <v>6424.24</v>
          </cell>
          <cell r="Z627" t="str">
            <v>RA</v>
          </cell>
          <cell r="AA627">
            <v>1076.764622927624</v>
          </cell>
          <cell r="AB627">
            <v>0</v>
          </cell>
        </row>
        <row r="628">
          <cell r="X628">
            <v>3730.37</v>
          </cell>
          <cell r="Z628" t="str">
            <v>RA</v>
          </cell>
          <cell r="AA628">
            <v>625.24601298060486</v>
          </cell>
          <cell r="AB628">
            <v>0</v>
          </cell>
        </row>
        <row r="629">
          <cell r="X629">
            <v>4032.36</v>
          </cell>
          <cell r="Z629" t="str">
            <v/>
          </cell>
          <cell r="AA629">
            <v>675.86245141969084</v>
          </cell>
          <cell r="AB629">
            <v>0</v>
          </cell>
        </row>
        <row r="630">
          <cell r="X630">
            <v>1903.75</v>
          </cell>
          <cell r="Z630" t="str">
            <v>RA</v>
          </cell>
          <cell r="AA630">
            <v>319.08687267263741</v>
          </cell>
          <cell r="AB630">
            <v>0</v>
          </cell>
        </row>
        <row r="631">
          <cell r="X631">
            <v>50.56</v>
          </cell>
          <cell r="Z631" t="str">
            <v>RA</v>
          </cell>
          <cell r="AA631">
            <v>8.4743439434424417</v>
          </cell>
          <cell r="AB631">
            <v>0</v>
          </cell>
        </row>
        <row r="632">
          <cell r="X632">
            <v>129.94</v>
          </cell>
          <cell r="Z632" t="str">
            <v>RA</v>
          </cell>
          <cell r="AA632">
            <v>21.779198022367698</v>
          </cell>
          <cell r="AB632">
            <v>0</v>
          </cell>
        </row>
        <row r="633">
          <cell r="X633">
            <v>107.17</v>
          </cell>
          <cell r="Z633" t="str">
            <v>RA</v>
          </cell>
          <cell r="AA633">
            <v>17.962726274104558</v>
          </cell>
          <cell r="AB633">
            <v>0</v>
          </cell>
        </row>
        <row r="634">
          <cell r="X634">
            <v>135.54</v>
          </cell>
          <cell r="Z634" t="str">
            <v>RA</v>
          </cell>
          <cell r="AA634">
            <v>22.717812066736322</v>
          </cell>
          <cell r="AB634">
            <v>0</v>
          </cell>
        </row>
        <row r="635">
          <cell r="X635">
            <v>235.36</v>
          </cell>
          <cell r="Z635" t="str">
            <v>RA</v>
          </cell>
          <cell r="AA635">
            <v>39.448607407607064</v>
          </cell>
          <cell r="AB635">
            <v>0</v>
          </cell>
        </row>
        <row r="636">
          <cell r="X636">
            <v>722.7</v>
          </cell>
          <cell r="Z636" t="str">
            <v>RA</v>
          </cell>
          <cell r="AA636">
            <v>121.13149461878665</v>
          </cell>
          <cell r="AB636">
            <v>0</v>
          </cell>
        </row>
        <row r="637">
          <cell r="X637">
            <v>21.54</v>
          </cell>
          <cell r="Z637" t="str">
            <v>RA</v>
          </cell>
          <cell r="AA637">
            <v>3.6103118778036034</v>
          </cell>
          <cell r="AB637">
            <v>0</v>
          </cell>
        </row>
        <row r="638">
          <cell r="X638">
            <v>223.35</v>
          </cell>
          <cell r="Z638" t="str">
            <v>RA</v>
          </cell>
          <cell r="AA638">
            <v>37.435615501737921</v>
          </cell>
          <cell r="AB638">
            <v>0</v>
          </cell>
        </row>
        <row r="639">
          <cell r="X639">
            <v>99.56</v>
          </cell>
          <cell r="Z639" t="str">
            <v>RA</v>
          </cell>
          <cell r="AA639">
            <v>16.687216831667911</v>
          </cell>
          <cell r="AB639">
            <v>0</v>
          </cell>
        </row>
        <row r="640">
          <cell r="X640">
            <v>402.89</v>
          </cell>
          <cell r="Z640" t="str">
            <v>RA</v>
          </cell>
          <cell r="AA640">
            <v>67.528252202799152</v>
          </cell>
          <cell r="AB640">
            <v>0</v>
          </cell>
        </row>
        <row r="641">
          <cell r="X641">
            <v>68770.22</v>
          </cell>
          <cell r="Z641" t="str">
            <v/>
          </cell>
          <cell r="AA641">
            <v>11526.552558271445</v>
          </cell>
          <cell r="AB641">
            <v>0</v>
          </cell>
        </row>
        <row r="642">
          <cell r="X642">
            <v>53773.2</v>
          </cell>
          <cell r="Z642" t="str">
            <v>RA</v>
          </cell>
          <cell r="AA642">
            <v>9012.9072733290959</v>
          </cell>
          <cell r="AB642">
            <v>0</v>
          </cell>
        </row>
        <row r="643">
          <cell r="X643">
            <v>14997.02</v>
          </cell>
          <cell r="Z643" t="str">
            <v>RA</v>
          </cell>
          <cell r="AA643">
            <v>2513.645284942349</v>
          </cell>
          <cell r="AB643">
            <v>0</v>
          </cell>
        </row>
        <row r="644">
          <cell r="X644">
            <v>14267.3</v>
          </cell>
          <cell r="Z644" t="str">
            <v/>
          </cell>
          <cell r="AA644">
            <v>2391.337170575086</v>
          </cell>
          <cell r="AB644">
            <v>0</v>
          </cell>
        </row>
        <row r="645">
          <cell r="X645">
            <v>466.98</v>
          </cell>
          <cell r="Z645" t="str">
            <v>RA</v>
          </cell>
          <cell r="AA645">
            <v>78.270354721296513</v>
          </cell>
          <cell r="AB645">
            <v>0</v>
          </cell>
        </row>
        <row r="646">
          <cell r="X646">
            <v>11176.76</v>
          </cell>
          <cell r="Z646" t="str">
            <v>RA</v>
          </cell>
          <cell r="AA646">
            <v>1873.3328404531201</v>
          </cell>
          <cell r="AB646">
            <v>0</v>
          </cell>
        </row>
        <row r="647">
          <cell r="X647">
            <v>2623.56</v>
          </cell>
          <cell r="Z647" t="str">
            <v>RA</v>
          </cell>
          <cell r="AA647">
            <v>439.73397540066952</v>
          </cell>
          <cell r="AB647">
            <v>0</v>
          </cell>
        </row>
        <row r="648">
          <cell r="X648">
            <v>4278.1400000000003</v>
          </cell>
          <cell r="Z648" t="str">
            <v/>
          </cell>
          <cell r="AA648">
            <v>717.05755138842653</v>
          </cell>
          <cell r="AB648">
            <v>0</v>
          </cell>
        </row>
        <row r="649">
          <cell r="X649">
            <v>201.06</v>
          </cell>
          <cell r="Z649" t="str">
            <v>RA</v>
          </cell>
          <cell r="AA649">
            <v>33.699596385849233</v>
          </cell>
          <cell r="AB649">
            <v>0</v>
          </cell>
        </row>
        <row r="650">
          <cell r="X650">
            <v>795.66</v>
          </cell>
          <cell r="Z650" t="str">
            <v>RA</v>
          </cell>
          <cell r="AA650">
            <v>133.36029473970359</v>
          </cell>
          <cell r="AB650">
            <v>0</v>
          </cell>
        </row>
        <row r="651">
          <cell r="X651">
            <v>147.32</v>
          </cell>
          <cell r="Z651" t="str">
            <v>RA</v>
          </cell>
          <cell r="AA651">
            <v>24.692253752926039</v>
          </cell>
          <cell r="AB651">
            <v>0</v>
          </cell>
        </row>
        <row r="652">
          <cell r="X652">
            <v>1707.41</v>
          </cell>
          <cell r="Z652" t="str">
            <v>RA</v>
          </cell>
          <cell r="AA652">
            <v>286.17839383847036</v>
          </cell>
          <cell r="AB652">
            <v>0</v>
          </cell>
        </row>
        <row r="653">
          <cell r="X653">
            <v>168.12</v>
          </cell>
          <cell r="Z653" t="str">
            <v>RA</v>
          </cell>
          <cell r="AA653">
            <v>28.178534489152362</v>
          </cell>
          <cell r="AB653">
            <v>0</v>
          </cell>
        </row>
        <row r="654">
          <cell r="X654">
            <v>19.579999999999998</v>
          </cell>
          <cell r="Z654" t="str">
            <v>RA</v>
          </cell>
          <cell r="AA654">
            <v>3.2817969622745844</v>
          </cell>
          <cell r="AB654">
            <v>0</v>
          </cell>
        </row>
        <row r="655">
          <cell r="X655">
            <v>120.16</v>
          </cell>
          <cell r="Z655" t="str">
            <v>RA</v>
          </cell>
          <cell r="AA655">
            <v>20.139975637738207</v>
          </cell>
          <cell r="AB655">
            <v>0</v>
          </cell>
        </row>
        <row r="656">
          <cell r="X656">
            <v>62.58</v>
          </cell>
          <cell r="Z656" t="str">
            <v>RA</v>
          </cell>
          <cell r="AA656">
            <v>10.489011945819383</v>
          </cell>
          <cell r="AB656">
            <v>0</v>
          </cell>
        </row>
        <row r="657">
          <cell r="X657">
            <v>407.15</v>
          </cell>
          <cell r="Z657" t="str">
            <v>RA</v>
          </cell>
          <cell r="AA657">
            <v>68.242269315122428</v>
          </cell>
          <cell r="AB657">
            <v>0</v>
          </cell>
        </row>
        <row r="658">
          <cell r="X658">
            <v>111.6</v>
          </cell>
          <cell r="Z658" t="str">
            <v>RA</v>
          </cell>
          <cell r="AA658">
            <v>18.705237027060452</v>
          </cell>
          <cell r="AB658">
            <v>0</v>
          </cell>
        </row>
        <row r="659">
          <cell r="X659">
            <v>236.24</v>
          </cell>
          <cell r="Z659" t="str">
            <v>RA</v>
          </cell>
          <cell r="AA659">
            <v>39.596103900293564</v>
          </cell>
          <cell r="AB659">
            <v>0</v>
          </cell>
        </row>
        <row r="660">
          <cell r="X660">
            <v>74.599999999999994</v>
          </cell>
          <cell r="Z660" t="str">
            <v>RA</v>
          </cell>
          <cell r="AA660">
            <v>12.503679948196323</v>
          </cell>
          <cell r="AB660">
            <v>0</v>
          </cell>
        </row>
        <row r="661">
          <cell r="X661">
            <v>226.66</v>
          </cell>
          <cell r="Z661" t="str">
            <v>RA</v>
          </cell>
          <cell r="AA661">
            <v>37.990403445820093</v>
          </cell>
          <cell r="AB661">
            <v>0</v>
          </cell>
        </row>
        <row r="662">
          <cell r="X662">
            <v>114048.47</v>
          </cell>
          <cell r="Z662" t="str">
            <v/>
          </cell>
          <cell r="AA662">
            <v>19115.624228706034</v>
          </cell>
          <cell r="AB662">
            <v>0</v>
          </cell>
        </row>
        <row r="663">
          <cell r="X663">
            <v>3551.46</v>
          </cell>
          <cell r="Z663" t="str">
            <v>RA</v>
          </cell>
          <cell r="AA663">
            <v>595.25897035953506</v>
          </cell>
          <cell r="AB663">
            <v>0</v>
          </cell>
        </row>
        <row r="664">
          <cell r="X664">
            <v>42140.59</v>
          </cell>
          <cell r="Z664" t="str">
            <v>RA</v>
          </cell>
          <cell r="AA664">
            <v>7063.1695735678622</v>
          </cell>
          <cell r="AB664">
            <v>0</v>
          </cell>
        </row>
        <row r="665">
          <cell r="X665">
            <v>1681.49</v>
          </cell>
          <cell r="Z665" t="str">
            <v>RA</v>
          </cell>
          <cell r="AA665">
            <v>281.83395169024982</v>
          </cell>
          <cell r="AB665">
            <v>0</v>
          </cell>
        </row>
        <row r="666">
          <cell r="X666">
            <v>29733.94</v>
          </cell>
          <cell r="Z666" t="str">
            <v>RA</v>
          </cell>
          <cell r="AA666">
            <v>4983.6952997167909</v>
          </cell>
          <cell r="AB666">
            <v>0</v>
          </cell>
        </row>
        <row r="667">
          <cell r="X667">
            <v>5493.88</v>
          </cell>
          <cell r="Z667" t="str">
            <v>RA</v>
          </cell>
          <cell r="AA667">
            <v>920.82730822783947</v>
          </cell>
          <cell r="AB667">
            <v>0</v>
          </cell>
        </row>
        <row r="668">
          <cell r="X668">
            <v>16154.84</v>
          </cell>
          <cell r="Z668" t="str">
            <v>RA</v>
          </cell>
          <cell r="AA668">
            <v>2707.707090808578</v>
          </cell>
          <cell r="AB668">
            <v>0</v>
          </cell>
        </row>
        <row r="669">
          <cell r="X669">
            <v>1337.98</v>
          </cell>
          <cell r="Z669" t="str">
            <v>RA</v>
          </cell>
          <cell r="AA669">
            <v>224.25836055077372</v>
          </cell>
          <cell r="AB669">
            <v>0</v>
          </cell>
        </row>
        <row r="670">
          <cell r="X670">
            <v>5014.6499999999996</v>
          </cell>
          <cell r="Z670" t="str">
            <v>RA</v>
          </cell>
          <cell r="AA670">
            <v>840.50373528448654</v>
          </cell>
          <cell r="AB670">
            <v>0</v>
          </cell>
        </row>
        <row r="671">
          <cell r="X671">
            <v>4091.22</v>
          </cell>
          <cell r="Z671" t="str">
            <v>RA</v>
          </cell>
          <cell r="AA671">
            <v>685.72795546460804</v>
          </cell>
          <cell r="AB671">
            <v>0</v>
          </cell>
        </row>
        <row r="672">
          <cell r="X672">
            <v>4848.42</v>
          </cell>
          <cell r="Z672" t="str">
            <v>RA</v>
          </cell>
          <cell r="AA672">
            <v>812.64198303530861</v>
          </cell>
          <cell r="AB672">
            <v>0</v>
          </cell>
        </row>
        <row r="673">
          <cell r="X673">
            <v>171358.32</v>
          </cell>
          <cell r="Z673" t="str">
            <v/>
          </cell>
          <cell r="AA673">
            <v>28721.308173466605</v>
          </cell>
          <cell r="AB673">
            <v>0</v>
          </cell>
        </row>
        <row r="674">
          <cell r="X674">
            <v>12134.4</v>
          </cell>
          <cell r="Z674" t="str">
            <v/>
          </cell>
          <cell r="AA674">
            <v>2033.8425464261859</v>
          </cell>
          <cell r="AB674">
            <v>0</v>
          </cell>
        </row>
        <row r="675">
          <cell r="X675">
            <v>3766.93</v>
          </cell>
          <cell r="Z675" t="str">
            <v>RA</v>
          </cell>
          <cell r="AA675">
            <v>631.37382181312569</v>
          </cell>
          <cell r="AB675">
            <v>0</v>
          </cell>
        </row>
        <row r="676">
          <cell r="X676">
            <v>2561.7199999999998</v>
          </cell>
          <cell r="Z676" t="str">
            <v>RA</v>
          </cell>
          <cell r="AA676">
            <v>429.3689945964274</v>
          </cell>
          <cell r="AB676">
            <v>0</v>
          </cell>
        </row>
        <row r="677">
          <cell r="X677">
            <v>2059.0100000000002</v>
          </cell>
          <cell r="Z677" t="str">
            <v>RA</v>
          </cell>
          <cell r="AA677">
            <v>345.1099470527576</v>
          </cell>
          <cell r="AB677">
            <v>0</v>
          </cell>
        </row>
        <row r="678">
          <cell r="X678">
            <v>3746.74</v>
          </cell>
          <cell r="Z678" t="str">
            <v>RA</v>
          </cell>
          <cell r="AA678">
            <v>627.9897829638752</v>
          </cell>
          <cell r="AB678">
            <v>0</v>
          </cell>
        </row>
        <row r="679">
          <cell r="X679">
            <v>25290.19</v>
          </cell>
          <cell r="Z679" t="str">
            <v/>
          </cell>
          <cell r="AA679">
            <v>4238.8799140626707</v>
          </cell>
          <cell r="AB679">
            <v>0</v>
          </cell>
        </row>
        <row r="680">
          <cell r="X680">
            <v>1109.1600000000001</v>
          </cell>
          <cell r="Z680" t="str">
            <v>RA</v>
          </cell>
          <cell r="AA680">
            <v>185.90592025926858</v>
          </cell>
          <cell r="AB680">
            <v>0</v>
          </cell>
        </row>
        <row r="681">
          <cell r="X681">
            <v>4155.84</v>
          </cell>
          <cell r="Z681" t="str">
            <v>RA</v>
          </cell>
          <cell r="AA681">
            <v>696.55889109801899</v>
          </cell>
          <cell r="AB681">
            <v>0</v>
          </cell>
        </row>
        <row r="682">
          <cell r="X682">
            <v>7913.52</v>
          </cell>
          <cell r="Z682" t="str">
            <v>RA</v>
          </cell>
          <cell r="AA682">
            <v>1326.3823236414287</v>
          </cell>
          <cell r="AB682">
            <v>0</v>
          </cell>
        </row>
        <row r="683">
          <cell r="X683">
            <v>2984</v>
          </cell>
          <cell r="Z683" t="str">
            <v>RA</v>
          </cell>
          <cell r="AA683">
            <v>500.14719792785297</v>
          </cell>
          <cell r="AB683">
            <v>0</v>
          </cell>
        </row>
        <row r="684">
          <cell r="X684">
            <v>2372.83</v>
          </cell>
          <cell r="Z684" t="str">
            <v>RA</v>
          </cell>
          <cell r="AA684">
            <v>397.70920766057213</v>
          </cell>
          <cell r="AB684">
            <v>0</v>
          </cell>
        </row>
        <row r="685">
          <cell r="X685">
            <v>885.49</v>
          </cell>
          <cell r="Z685" t="str">
            <v>RA</v>
          </cell>
          <cell r="AA685">
            <v>148.41666966928102</v>
          </cell>
          <cell r="AB685">
            <v>0</v>
          </cell>
        </row>
        <row r="686">
          <cell r="X686">
            <v>5869.35</v>
          </cell>
          <cell r="Z686" t="str">
            <v>RA</v>
          </cell>
          <cell r="AA686">
            <v>983.75970380624801</v>
          </cell>
          <cell r="AB686">
            <v>0</v>
          </cell>
        </row>
        <row r="687">
          <cell r="X687">
            <v>51027.6</v>
          </cell>
          <cell r="Z687" t="str">
            <v/>
          </cell>
          <cell r="AA687">
            <v>8552.7182161472228</v>
          </cell>
          <cell r="AB687">
            <v>0</v>
          </cell>
        </row>
        <row r="688">
          <cell r="X688">
            <v>25032.61</v>
          </cell>
          <cell r="Z688" t="str">
            <v/>
          </cell>
          <cell r="AA688">
            <v>4195.7070202147297</v>
          </cell>
          <cell r="AB688">
            <v>0</v>
          </cell>
        </row>
        <row r="689">
          <cell r="X689">
            <v>1683.65</v>
          </cell>
          <cell r="Z689" t="str">
            <v>RA</v>
          </cell>
          <cell r="AA689">
            <v>282.19598853593487</v>
          </cell>
          <cell r="AB689">
            <v>0</v>
          </cell>
        </row>
        <row r="690">
          <cell r="X690">
            <v>6312.08</v>
          </cell>
          <cell r="Z690" t="str">
            <v>RA</v>
          </cell>
          <cell r="AA690">
            <v>1057.9655244961268</v>
          </cell>
          <cell r="AB690">
            <v>0</v>
          </cell>
        </row>
        <row r="691">
          <cell r="X691">
            <v>6276.65</v>
          </cell>
          <cell r="Z691" t="str">
            <v>RA</v>
          </cell>
          <cell r="AA691">
            <v>1052.0271145689874</v>
          </cell>
          <cell r="AB691">
            <v>0</v>
          </cell>
        </row>
        <row r="692">
          <cell r="X692">
            <v>3695.5</v>
          </cell>
          <cell r="Z692" t="str">
            <v>RA</v>
          </cell>
          <cell r="AA692">
            <v>619.40146445790231</v>
          </cell>
          <cell r="AB692">
            <v>0</v>
          </cell>
        </row>
        <row r="693">
          <cell r="X693">
            <v>1558.8</v>
          </cell>
          <cell r="Z693" t="str">
            <v>RA</v>
          </cell>
          <cell r="AA693">
            <v>261.26992363603796</v>
          </cell>
          <cell r="AB693">
            <v>0</v>
          </cell>
        </row>
        <row r="694">
          <cell r="X694">
            <v>5505.93</v>
          </cell>
          <cell r="Z694" t="str">
            <v>RA</v>
          </cell>
          <cell r="AA694">
            <v>922.84700451973981</v>
          </cell>
          <cell r="AB694">
            <v>0</v>
          </cell>
        </row>
        <row r="695">
          <cell r="X695">
            <v>12235.04</v>
          </cell>
          <cell r="Z695" t="str">
            <v/>
          </cell>
          <cell r="AA695">
            <v>2050.7107816806965</v>
          </cell>
          <cell r="AB695">
            <v>0</v>
          </cell>
        </row>
        <row r="696">
          <cell r="X696">
            <v>4808.67</v>
          </cell>
          <cell r="Z696" t="str">
            <v>RA</v>
          </cell>
          <cell r="AA696">
            <v>805.97949941679917</v>
          </cell>
          <cell r="AB696">
            <v>0</v>
          </cell>
        </row>
        <row r="697">
          <cell r="X697">
            <v>2856.28</v>
          </cell>
          <cell r="Z697" t="str">
            <v>RA</v>
          </cell>
          <cell r="AA697">
            <v>478.74009333021718</v>
          </cell>
          <cell r="AB697">
            <v>0</v>
          </cell>
        </row>
        <row r="698">
          <cell r="X698">
            <v>1656.54</v>
          </cell>
          <cell r="Z698" t="str">
            <v>RA</v>
          </cell>
          <cell r="AA698">
            <v>277.65209090328602</v>
          </cell>
          <cell r="AB698">
            <v>0</v>
          </cell>
        </row>
        <row r="699">
          <cell r="X699">
            <v>2913.55</v>
          </cell>
          <cell r="Z699" t="str">
            <v>RA</v>
          </cell>
          <cell r="AA699">
            <v>488.33909803039415</v>
          </cell>
          <cell r="AB699">
            <v>0</v>
          </cell>
        </row>
        <row r="700">
          <cell r="X700">
            <v>13759.95</v>
          </cell>
          <cell r="Z700" t="str">
            <v/>
          </cell>
          <cell r="AA700">
            <v>2306.3004142517966</v>
          </cell>
          <cell r="AB700">
            <v>0</v>
          </cell>
        </row>
        <row r="701">
          <cell r="X701">
            <v>6061.27</v>
          </cell>
          <cell r="Z701" t="str">
            <v>RA</v>
          </cell>
          <cell r="AA701">
            <v>1015.927347983967</v>
          </cell>
          <cell r="AB701">
            <v>0</v>
          </cell>
        </row>
        <row r="702">
          <cell r="X702">
            <v>3178.34</v>
          </cell>
          <cell r="Z702" t="str">
            <v>RA</v>
          </cell>
          <cell r="AA702">
            <v>532.7204574604599</v>
          </cell>
          <cell r="AB702">
            <v>0</v>
          </cell>
        </row>
        <row r="703">
          <cell r="X703">
            <v>1332.54</v>
          </cell>
          <cell r="Z703" t="str">
            <v>RA</v>
          </cell>
          <cell r="AA703">
            <v>223.34656405052988</v>
          </cell>
          <cell r="AB703">
            <v>0</v>
          </cell>
        </row>
        <row r="704">
          <cell r="X704">
            <v>3187.8</v>
          </cell>
          <cell r="Z704" t="str">
            <v>RA</v>
          </cell>
          <cell r="AA704">
            <v>534.3060447568397</v>
          </cell>
          <cell r="AB704">
            <v>0</v>
          </cell>
        </row>
        <row r="705">
          <cell r="X705">
            <v>5477.12</v>
          </cell>
          <cell r="Z705" t="str">
            <v/>
          </cell>
          <cell r="AA705">
            <v>918.01817048076475</v>
          </cell>
          <cell r="AB705">
            <v>0</v>
          </cell>
        </row>
        <row r="706">
          <cell r="X706">
            <v>5477.12</v>
          </cell>
          <cell r="Z706" t="str">
            <v>RA</v>
          </cell>
          <cell r="AA706">
            <v>918.01817048076475</v>
          </cell>
          <cell r="AB706">
            <v>0</v>
          </cell>
        </row>
        <row r="707">
          <cell r="X707">
            <v>26384.7</v>
          </cell>
          <cell r="Z707" t="str">
            <v/>
          </cell>
          <cell r="AA707">
            <v>4422.33035293801</v>
          </cell>
          <cell r="AB707">
            <v>0</v>
          </cell>
        </row>
        <row r="708">
          <cell r="X708">
            <v>24369.73</v>
          </cell>
          <cell r="Z708" t="str">
            <v>RA</v>
          </cell>
          <cell r="AA708">
            <v>4084.6019349056087</v>
          </cell>
          <cell r="AB708">
            <v>0</v>
          </cell>
        </row>
        <row r="709">
          <cell r="X709">
            <v>2014.97</v>
          </cell>
          <cell r="Z709" t="str">
            <v>RA</v>
          </cell>
          <cell r="AA709">
            <v>337.72841803240146</v>
          </cell>
          <cell r="AB709">
            <v>0</v>
          </cell>
        </row>
        <row r="710">
          <cell r="X710">
            <v>39522.550000000003</v>
          </cell>
          <cell r="Z710" t="str">
            <v/>
          </cell>
          <cell r="AA710">
            <v>6624.3608034394993</v>
          </cell>
          <cell r="AB710">
            <v>0</v>
          </cell>
        </row>
        <row r="711">
          <cell r="X711">
            <v>2554.71</v>
          </cell>
          <cell r="Z711" t="str">
            <v>RA</v>
          </cell>
          <cell r="AA711">
            <v>428.19405094445887</v>
          </cell>
          <cell r="AB711">
            <v>0</v>
          </cell>
        </row>
        <row r="712">
          <cell r="X712">
            <v>2554.71</v>
          </cell>
          <cell r="Z712" t="str">
            <v>RA</v>
          </cell>
          <cell r="AA712">
            <v>428.19405094445887</v>
          </cell>
          <cell r="AB712">
            <v>0</v>
          </cell>
        </row>
        <row r="713">
          <cell r="X713">
            <v>14765.62</v>
          </cell>
          <cell r="Z713" t="str">
            <v>RA</v>
          </cell>
          <cell r="AA713">
            <v>2474.8604117518312</v>
          </cell>
          <cell r="AB713">
            <v>0</v>
          </cell>
        </row>
        <row r="714">
          <cell r="X714">
            <v>14765.62</v>
          </cell>
          <cell r="Z714" t="str">
            <v>RA</v>
          </cell>
          <cell r="AA714">
            <v>2474.8604117518312</v>
          </cell>
          <cell r="AB714">
            <v>0</v>
          </cell>
        </row>
        <row r="715">
          <cell r="X715">
            <v>4881.8900000000003</v>
          </cell>
          <cell r="Z715" t="str">
            <v>RA</v>
          </cell>
          <cell r="AA715">
            <v>818.25187804691905</v>
          </cell>
          <cell r="AB715">
            <v>0</v>
          </cell>
        </row>
        <row r="716">
          <cell r="X716">
            <v>11521.76</v>
          </cell>
          <cell r="Z716" t="str">
            <v/>
          </cell>
          <cell r="AA716">
            <v>1931.1581699722585</v>
          </cell>
          <cell r="AB716">
            <v>0</v>
          </cell>
        </row>
        <row r="717">
          <cell r="X717">
            <v>5760.88</v>
          </cell>
          <cell r="Z717" t="str">
            <v>RA</v>
          </cell>
          <cell r="AA717">
            <v>965.57908498612926</v>
          </cell>
          <cell r="AB717">
            <v>0</v>
          </cell>
        </row>
        <row r="718">
          <cell r="X718">
            <v>5760.88</v>
          </cell>
          <cell r="Z718" t="str">
            <v>RA</v>
          </cell>
          <cell r="AA718">
            <v>965.57908498612926</v>
          </cell>
          <cell r="AB718">
            <v>0</v>
          </cell>
        </row>
        <row r="719">
          <cell r="X719">
            <v>35228.959999999999</v>
          </cell>
          <cell r="Z719" t="str">
            <v/>
          </cell>
          <cell r="AA719">
            <v>5904.7136829465198</v>
          </cell>
          <cell r="AB719">
            <v>0</v>
          </cell>
        </row>
        <row r="720">
          <cell r="X720">
            <v>20901.439999999999</v>
          </cell>
          <cell r="Z720" t="str">
            <v>RA</v>
          </cell>
          <cell r="AA720">
            <v>3503.2830592014552</v>
          </cell>
          <cell r="AB720">
            <v>0</v>
          </cell>
        </row>
        <row r="721">
          <cell r="X721">
            <v>11388.54</v>
          </cell>
          <cell r="Z721" t="str">
            <v>RA</v>
          </cell>
          <cell r="AA721">
            <v>1908.8292122953321</v>
          </cell>
          <cell r="AB721">
            <v>0</v>
          </cell>
        </row>
        <row r="722">
          <cell r="X722">
            <v>2938.98</v>
          </cell>
          <cell r="Z722" t="str">
            <v>RA</v>
          </cell>
          <cell r="AA722">
            <v>492.60141144973232</v>
          </cell>
          <cell r="AB722">
            <v>0</v>
          </cell>
        </row>
      </sheetData>
      <sheetData sheetId="5">
        <row r="1">
          <cell r="C1" t="e">
            <v>#REF!</v>
          </cell>
        </row>
        <row r="4">
          <cell r="C4" t="str">
            <v>PROPONENTE / TOMADOR</v>
          </cell>
        </row>
        <row r="5">
          <cell r="C5" t="str">
            <v>Prefeitura Municipal de Rosário do Sul</v>
          </cell>
        </row>
        <row r="6">
          <cell r="B6" t="str">
            <v>Automática, conforme os agrupadores Nível 2 do Orçamento</v>
          </cell>
          <cell r="C6" t="str">
            <v>1. Selecione abaixo a forma de definição dos agrupadores de eventos:</v>
          </cell>
        </row>
        <row r="7">
          <cell r="B7" t="str">
            <v>Automática, conforme os agrupadores Nível 3 do Orçamento</v>
          </cell>
        </row>
        <row r="8">
          <cell r="B8" t="str">
            <v>Automática, conforme os agrupadores Nível 4 do Orçamento</v>
          </cell>
          <cell r="C8" t="str">
            <v>Automática, conforme os agrupadores Nível 2 do Orçamento</v>
          </cell>
        </row>
        <row r="9">
          <cell r="B9" t="str">
            <v>Definir Manualmente</v>
          </cell>
        </row>
        <row r="10">
          <cell r="C10">
            <v>0</v>
          </cell>
        </row>
        <row r="11">
          <cell r="C11" t="str">
            <v>Foi selecionado na aba 'MENU' o acompanhamento por BM. Não há necessidade de definição de Eventos.</v>
          </cell>
        </row>
        <row r="13">
          <cell r="C13" t="str">
            <v>Nº do Evento</v>
          </cell>
        </row>
        <row r="15">
          <cell r="A15" t="str">
            <v/>
          </cell>
          <cell r="B15" t="str">
            <v/>
          </cell>
          <cell r="C15">
            <v>0</v>
          </cell>
          <cell r="D15" t="str">
            <v/>
          </cell>
          <cell r="E15">
            <v>0</v>
          </cell>
          <cell r="F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</row>
        <row r="16">
          <cell r="C16">
            <v>1</v>
          </cell>
        </row>
        <row r="17">
          <cell r="C17" t="str">
            <v xml:space="preserve"> </v>
          </cell>
        </row>
        <row r="18">
          <cell r="C18" t="str">
            <v xml:space="preserve"> </v>
          </cell>
        </row>
        <row r="19">
          <cell r="C19" t="str">
            <v xml:space="preserve"> </v>
          </cell>
        </row>
        <row r="20">
          <cell r="C20" t="str">
            <v xml:space="preserve"> </v>
          </cell>
        </row>
        <row r="21">
          <cell r="C21" t="str">
            <v xml:space="preserve"> </v>
          </cell>
        </row>
        <row r="22">
          <cell r="C22" t="str">
            <v xml:space="preserve"> </v>
          </cell>
        </row>
        <row r="23">
          <cell r="C23" t="str">
            <v xml:space="preserve"> </v>
          </cell>
        </row>
        <row r="24">
          <cell r="C24" t="str">
            <v xml:space="preserve"> </v>
          </cell>
        </row>
        <row r="25">
          <cell r="C25" t="str">
            <v xml:space="preserve"> </v>
          </cell>
        </row>
        <row r="26">
          <cell r="C26" t="str">
            <v xml:space="preserve"> </v>
          </cell>
        </row>
        <row r="27">
          <cell r="C27" t="str">
            <v xml:space="preserve"> </v>
          </cell>
        </row>
        <row r="28">
          <cell r="C28" t="str">
            <v xml:space="preserve"> </v>
          </cell>
        </row>
        <row r="29">
          <cell r="C29" t="str">
            <v xml:space="preserve"> </v>
          </cell>
        </row>
        <row r="30">
          <cell r="C30" t="str">
            <v xml:space="preserve"> </v>
          </cell>
        </row>
        <row r="31">
          <cell r="C31" t="str">
            <v xml:space="preserve"> </v>
          </cell>
        </row>
        <row r="32">
          <cell r="C32" t="str">
            <v xml:space="preserve"> </v>
          </cell>
        </row>
        <row r="33">
          <cell r="C33" t="str">
            <v xml:space="preserve"> </v>
          </cell>
        </row>
        <row r="34">
          <cell r="C34" t="str">
            <v xml:space="preserve"> </v>
          </cell>
        </row>
        <row r="35">
          <cell r="C35" t="str">
            <v xml:space="preserve"> </v>
          </cell>
        </row>
        <row r="36">
          <cell r="C36" t="str">
            <v xml:space="preserve"> </v>
          </cell>
        </row>
        <row r="37">
          <cell r="C37" t="str">
            <v xml:space="preserve"> </v>
          </cell>
        </row>
        <row r="38">
          <cell r="C38" t="str">
            <v xml:space="preserve"> </v>
          </cell>
        </row>
        <row r="39">
          <cell r="C39" t="str">
            <v xml:space="preserve"> </v>
          </cell>
        </row>
        <row r="40">
          <cell r="C40" t="str">
            <v xml:space="preserve"> </v>
          </cell>
        </row>
        <row r="41">
          <cell r="C41" t="str">
            <v xml:space="preserve"> </v>
          </cell>
        </row>
        <row r="42">
          <cell r="C42" t="str">
            <v xml:space="preserve"> </v>
          </cell>
        </row>
        <row r="43">
          <cell r="C43" t="str">
            <v xml:space="preserve"> </v>
          </cell>
        </row>
        <row r="44">
          <cell r="C44" t="str">
            <v xml:space="preserve"> </v>
          </cell>
        </row>
        <row r="45">
          <cell r="C45" t="str">
            <v xml:space="preserve"> </v>
          </cell>
        </row>
        <row r="46">
          <cell r="C46" t="str">
            <v xml:space="preserve"> </v>
          </cell>
        </row>
        <row r="47">
          <cell r="C47" t="str">
            <v xml:space="preserve"> </v>
          </cell>
        </row>
        <row r="48">
          <cell r="C48" t="str">
            <v xml:space="preserve"> </v>
          </cell>
        </row>
        <row r="49">
          <cell r="C49" t="str">
            <v xml:space="preserve"> </v>
          </cell>
        </row>
        <row r="50">
          <cell r="C50" t="str">
            <v xml:space="preserve"> </v>
          </cell>
        </row>
        <row r="51">
          <cell r="C51" t="str">
            <v xml:space="preserve"> </v>
          </cell>
        </row>
        <row r="52">
          <cell r="C52" t="str">
            <v xml:space="preserve"> </v>
          </cell>
        </row>
        <row r="53">
          <cell r="C53" t="str">
            <v xml:space="preserve"> </v>
          </cell>
        </row>
        <row r="54">
          <cell r="C54" t="str">
            <v xml:space="preserve"> </v>
          </cell>
        </row>
        <row r="55">
          <cell r="C55" t="str">
            <v xml:space="preserve"> </v>
          </cell>
        </row>
        <row r="56">
          <cell r="C56" t="str">
            <v xml:space="preserve"> </v>
          </cell>
        </row>
        <row r="57">
          <cell r="C57" t="str">
            <v xml:space="preserve"> </v>
          </cell>
        </row>
        <row r="58">
          <cell r="C58" t="str">
            <v xml:space="preserve"> </v>
          </cell>
        </row>
        <row r="59">
          <cell r="C59" t="str">
            <v xml:space="preserve"> </v>
          </cell>
        </row>
        <row r="60">
          <cell r="C60" t="str">
            <v xml:space="preserve"> </v>
          </cell>
        </row>
        <row r="61">
          <cell r="C61" t="str">
            <v xml:space="preserve"> </v>
          </cell>
        </row>
        <row r="62">
          <cell r="C62" t="str">
            <v xml:space="preserve"> </v>
          </cell>
        </row>
        <row r="63">
          <cell r="C63" t="str">
            <v xml:space="preserve"> </v>
          </cell>
        </row>
        <row r="64">
          <cell r="C64" t="str">
            <v xml:space="preserve"> </v>
          </cell>
        </row>
      </sheetData>
      <sheetData sheetId="6">
        <row r="1">
          <cell r="M1">
            <v>0</v>
          </cell>
        </row>
        <row r="11">
          <cell r="A11" t="str">
            <v>Sem Adm</v>
          </cell>
        </row>
        <row r="12">
          <cell r="A12">
            <v>2</v>
          </cell>
          <cell r="AA12" t="str">
            <v>.</v>
          </cell>
        </row>
        <row r="15">
          <cell r="M15">
            <v>0</v>
          </cell>
          <cell r="Q15">
            <v>0</v>
          </cell>
        </row>
        <row r="16">
          <cell r="M16" t="str">
            <v/>
          </cell>
        </row>
        <row r="17">
          <cell r="M17" t="str">
            <v/>
          </cell>
        </row>
        <row r="18">
          <cell r="M18">
            <v>1</v>
          </cell>
        </row>
        <row r="19">
          <cell r="M19" t="str">
            <v/>
          </cell>
        </row>
        <row r="20">
          <cell r="M20">
            <v>2</v>
          </cell>
        </row>
        <row r="21">
          <cell r="M21">
            <v>2</v>
          </cell>
        </row>
        <row r="22">
          <cell r="M22">
            <v>2</v>
          </cell>
        </row>
        <row r="23">
          <cell r="M23">
            <v>2</v>
          </cell>
        </row>
        <row r="24">
          <cell r="M24">
            <v>2</v>
          </cell>
        </row>
        <row r="25">
          <cell r="M25">
            <v>2</v>
          </cell>
        </row>
        <row r="26">
          <cell r="M26">
            <v>2</v>
          </cell>
        </row>
        <row r="27">
          <cell r="M27">
            <v>2</v>
          </cell>
        </row>
        <row r="28">
          <cell r="M28" t="str">
            <v/>
          </cell>
        </row>
        <row r="29">
          <cell r="M29">
            <v>3</v>
          </cell>
        </row>
        <row r="30">
          <cell r="M30">
            <v>3</v>
          </cell>
        </row>
        <row r="31">
          <cell r="M31">
            <v>3</v>
          </cell>
        </row>
        <row r="32">
          <cell r="M32">
            <v>3</v>
          </cell>
        </row>
        <row r="33">
          <cell r="M33">
            <v>3</v>
          </cell>
        </row>
        <row r="34">
          <cell r="M34">
            <v>3</v>
          </cell>
        </row>
        <row r="35">
          <cell r="M35">
            <v>3</v>
          </cell>
        </row>
        <row r="36">
          <cell r="M36" t="str">
            <v/>
          </cell>
        </row>
        <row r="37">
          <cell r="M37" t="str">
            <v/>
          </cell>
        </row>
        <row r="38">
          <cell r="M38">
            <v>4</v>
          </cell>
        </row>
        <row r="39">
          <cell r="M39">
            <v>4</v>
          </cell>
        </row>
        <row r="40">
          <cell r="M40">
            <v>4</v>
          </cell>
        </row>
        <row r="41">
          <cell r="M41">
            <v>4</v>
          </cell>
        </row>
        <row r="42">
          <cell r="M42" t="str">
            <v/>
          </cell>
        </row>
        <row r="43">
          <cell r="M43">
            <v>4</v>
          </cell>
        </row>
        <row r="44">
          <cell r="M44">
            <v>4</v>
          </cell>
        </row>
        <row r="45">
          <cell r="M45">
            <v>4</v>
          </cell>
        </row>
        <row r="46">
          <cell r="M46">
            <v>4</v>
          </cell>
        </row>
        <row r="47">
          <cell r="M47">
            <v>4</v>
          </cell>
        </row>
        <row r="48">
          <cell r="M48">
            <v>4</v>
          </cell>
        </row>
        <row r="49">
          <cell r="M49">
            <v>4</v>
          </cell>
        </row>
        <row r="50">
          <cell r="M50" t="str">
            <v/>
          </cell>
        </row>
        <row r="51">
          <cell r="M51">
            <v>4</v>
          </cell>
        </row>
        <row r="52">
          <cell r="M52">
            <v>4</v>
          </cell>
        </row>
        <row r="53">
          <cell r="M53">
            <v>4</v>
          </cell>
        </row>
        <row r="54">
          <cell r="M54">
            <v>4</v>
          </cell>
        </row>
        <row r="55">
          <cell r="M55">
            <v>4</v>
          </cell>
        </row>
        <row r="56">
          <cell r="M56">
            <v>4</v>
          </cell>
        </row>
        <row r="57">
          <cell r="M57">
            <v>4</v>
          </cell>
        </row>
        <row r="58">
          <cell r="M58">
            <v>4</v>
          </cell>
        </row>
        <row r="59">
          <cell r="M59">
            <v>4</v>
          </cell>
        </row>
        <row r="60">
          <cell r="M60">
            <v>4</v>
          </cell>
        </row>
        <row r="61">
          <cell r="M61" t="str">
            <v/>
          </cell>
        </row>
        <row r="62">
          <cell r="M62" t="str">
            <v/>
          </cell>
        </row>
        <row r="63">
          <cell r="M63">
            <v>5</v>
          </cell>
        </row>
        <row r="64">
          <cell r="M64">
            <v>5</v>
          </cell>
        </row>
        <row r="65">
          <cell r="M65">
            <v>5</v>
          </cell>
        </row>
        <row r="66">
          <cell r="M66">
            <v>5</v>
          </cell>
        </row>
        <row r="67">
          <cell r="M67">
            <v>5</v>
          </cell>
        </row>
        <row r="68">
          <cell r="M68">
            <v>5</v>
          </cell>
        </row>
        <row r="69">
          <cell r="M69">
            <v>5</v>
          </cell>
        </row>
        <row r="70">
          <cell r="M70">
            <v>5</v>
          </cell>
        </row>
        <row r="71">
          <cell r="M71" t="str">
            <v/>
          </cell>
        </row>
        <row r="72">
          <cell r="M72">
            <v>5</v>
          </cell>
        </row>
        <row r="73">
          <cell r="M73">
            <v>5</v>
          </cell>
        </row>
        <row r="74">
          <cell r="M74">
            <v>5</v>
          </cell>
        </row>
        <row r="75">
          <cell r="M75">
            <v>5</v>
          </cell>
        </row>
        <row r="76">
          <cell r="M76">
            <v>5</v>
          </cell>
        </row>
        <row r="77">
          <cell r="M77" t="str">
            <v/>
          </cell>
        </row>
        <row r="78">
          <cell r="M78">
            <v>5</v>
          </cell>
        </row>
        <row r="79">
          <cell r="M79">
            <v>5</v>
          </cell>
        </row>
        <row r="80">
          <cell r="M80">
            <v>5</v>
          </cell>
        </row>
        <row r="81">
          <cell r="M81">
            <v>5</v>
          </cell>
        </row>
        <row r="82">
          <cell r="M82">
            <v>5</v>
          </cell>
        </row>
        <row r="83">
          <cell r="M83">
            <v>5</v>
          </cell>
        </row>
        <row r="84">
          <cell r="M84" t="str">
            <v/>
          </cell>
        </row>
        <row r="85">
          <cell r="M85" t="str">
            <v/>
          </cell>
        </row>
        <row r="86">
          <cell r="M86">
            <v>5</v>
          </cell>
        </row>
        <row r="87">
          <cell r="M87">
            <v>5</v>
          </cell>
        </row>
        <row r="88">
          <cell r="M88">
            <v>5</v>
          </cell>
        </row>
        <row r="89">
          <cell r="M89">
            <v>5</v>
          </cell>
        </row>
        <row r="90">
          <cell r="M90">
            <v>5</v>
          </cell>
        </row>
        <row r="91">
          <cell r="M91">
            <v>5</v>
          </cell>
        </row>
        <row r="92">
          <cell r="M92">
            <v>5</v>
          </cell>
        </row>
        <row r="93">
          <cell r="M93" t="str">
            <v/>
          </cell>
        </row>
        <row r="94">
          <cell r="M94">
            <v>5</v>
          </cell>
        </row>
        <row r="95">
          <cell r="M95">
            <v>5</v>
          </cell>
        </row>
        <row r="96">
          <cell r="M96">
            <v>5</v>
          </cell>
        </row>
        <row r="97">
          <cell r="M97">
            <v>5</v>
          </cell>
        </row>
        <row r="98">
          <cell r="M98">
            <v>5</v>
          </cell>
        </row>
        <row r="99">
          <cell r="M99" t="str">
            <v/>
          </cell>
        </row>
        <row r="100">
          <cell r="M100">
            <v>5</v>
          </cell>
        </row>
        <row r="101">
          <cell r="M101">
            <v>5</v>
          </cell>
        </row>
        <row r="102">
          <cell r="M102">
            <v>5</v>
          </cell>
        </row>
        <row r="103">
          <cell r="M103">
            <v>5</v>
          </cell>
        </row>
        <row r="104">
          <cell r="M104" t="str">
            <v/>
          </cell>
        </row>
        <row r="105">
          <cell r="M105" t="str">
            <v/>
          </cell>
        </row>
        <row r="106">
          <cell r="M106">
            <v>6</v>
          </cell>
        </row>
        <row r="107">
          <cell r="M107" t="str">
            <v/>
          </cell>
        </row>
        <row r="108">
          <cell r="M108">
            <v>6</v>
          </cell>
        </row>
        <row r="109">
          <cell r="M109">
            <v>6</v>
          </cell>
        </row>
        <row r="110">
          <cell r="M110">
            <v>6</v>
          </cell>
        </row>
        <row r="111">
          <cell r="M111">
            <v>6</v>
          </cell>
        </row>
        <row r="112">
          <cell r="M112">
            <v>6</v>
          </cell>
        </row>
        <row r="113">
          <cell r="M113" t="str">
            <v/>
          </cell>
        </row>
        <row r="114">
          <cell r="M114">
            <v>6</v>
          </cell>
        </row>
        <row r="115">
          <cell r="M115">
            <v>6</v>
          </cell>
        </row>
        <row r="116">
          <cell r="M116">
            <v>6</v>
          </cell>
        </row>
        <row r="117">
          <cell r="M117">
            <v>6</v>
          </cell>
        </row>
        <row r="118">
          <cell r="M118" t="str">
            <v/>
          </cell>
        </row>
        <row r="119">
          <cell r="M119">
            <v>6</v>
          </cell>
        </row>
        <row r="120">
          <cell r="M120">
            <v>6</v>
          </cell>
        </row>
        <row r="121">
          <cell r="M121" t="str">
            <v/>
          </cell>
        </row>
        <row r="122">
          <cell r="M122" t="str">
            <v/>
          </cell>
        </row>
        <row r="123">
          <cell r="M123">
            <v>7</v>
          </cell>
        </row>
        <row r="124">
          <cell r="M124">
            <v>7</v>
          </cell>
        </row>
        <row r="125">
          <cell r="M125">
            <v>7</v>
          </cell>
        </row>
        <row r="126">
          <cell r="M126">
            <v>7</v>
          </cell>
        </row>
        <row r="127">
          <cell r="M127">
            <v>7</v>
          </cell>
        </row>
        <row r="128">
          <cell r="M128">
            <v>7</v>
          </cell>
        </row>
        <row r="129">
          <cell r="M129" t="str">
            <v/>
          </cell>
        </row>
        <row r="130">
          <cell r="M130">
            <v>7</v>
          </cell>
        </row>
        <row r="131">
          <cell r="M131">
            <v>7</v>
          </cell>
        </row>
        <row r="132">
          <cell r="M132">
            <v>7</v>
          </cell>
        </row>
        <row r="133">
          <cell r="M133">
            <v>7</v>
          </cell>
        </row>
        <row r="134">
          <cell r="M134" t="str">
            <v/>
          </cell>
        </row>
        <row r="135">
          <cell r="M135">
            <v>7</v>
          </cell>
        </row>
        <row r="136">
          <cell r="M136">
            <v>7</v>
          </cell>
        </row>
        <row r="137">
          <cell r="M137">
            <v>7</v>
          </cell>
        </row>
        <row r="138">
          <cell r="M138">
            <v>7</v>
          </cell>
        </row>
        <row r="139">
          <cell r="M139">
            <v>7</v>
          </cell>
        </row>
        <row r="140">
          <cell r="M140" t="str">
            <v/>
          </cell>
        </row>
        <row r="141">
          <cell r="M141">
            <v>7</v>
          </cell>
        </row>
        <row r="142">
          <cell r="M142">
            <v>7</v>
          </cell>
        </row>
        <row r="143">
          <cell r="M143">
            <v>7</v>
          </cell>
        </row>
        <row r="144">
          <cell r="M144">
            <v>7</v>
          </cell>
        </row>
        <row r="145">
          <cell r="M145">
            <v>7</v>
          </cell>
        </row>
        <row r="146">
          <cell r="M146">
            <v>7</v>
          </cell>
        </row>
        <row r="147">
          <cell r="M147">
            <v>7</v>
          </cell>
        </row>
        <row r="148">
          <cell r="M148">
            <v>7</v>
          </cell>
        </row>
        <row r="149">
          <cell r="M149">
            <v>7</v>
          </cell>
        </row>
        <row r="150">
          <cell r="M150">
            <v>7</v>
          </cell>
        </row>
        <row r="151">
          <cell r="M151">
            <v>7</v>
          </cell>
        </row>
        <row r="152">
          <cell r="M152">
            <v>7</v>
          </cell>
        </row>
        <row r="153">
          <cell r="M153">
            <v>7</v>
          </cell>
        </row>
        <row r="154">
          <cell r="M154">
            <v>7</v>
          </cell>
        </row>
        <row r="155">
          <cell r="M155">
            <v>7</v>
          </cell>
        </row>
        <row r="156">
          <cell r="M156" t="str">
            <v/>
          </cell>
        </row>
        <row r="157">
          <cell r="M157">
            <v>7</v>
          </cell>
        </row>
        <row r="158">
          <cell r="M158" t="str">
            <v/>
          </cell>
        </row>
        <row r="159">
          <cell r="M159">
            <v>7</v>
          </cell>
        </row>
        <row r="160">
          <cell r="M160">
            <v>7</v>
          </cell>
        </row>
        <row r="161">
          <cell r="M161">
            <v>7</v>
          </cell>
        </row>
        <row r="162">
          <cell r="M162">
            <v>7</v>
          </cell>
        </row>
        <row r="163">
          <cell r="M163">
            <v>7</v>
          </cell>
        </row>
        <row r="164">
          <cell r="M164">
            <v>7</v>
          </cell>
        </row>
        <row r="165">
          <cell r="M165">
            <v>7</v>
          </cell>
        </row>
        <row r="166">
          <cell r="M166">
            <v>7</v>
          </cell>
        </row>
        <row r="167">
          <cell r="M167">
            <v>7</v>
          </cell>
        </row>
        <row r="168">
          <cell r="M168">
            <v>7</v>
          </cell>
        </row>
        <row r="169">
          <cell r="M169" t="str">
            <v/>
          </cell>
        </row>
        <row r="170">
          <cell r="M170">
            <v>8</v>
          </cell>
        </row>
        <row r="171">
          <cell r="M171">
            <v>8</v>
          </cell>
        </row>
        <row r="172">
          <cell r="M172">
            <v>8</v>
          </cell>
        </row>
        <row r="173">
          <cell r="M173">
            <v>8</v>
          </cell>
        </row>
        <row r="174">
          <cell r="M174">
            <v>8</v>
          </cell>
        </row>
        <row r="175">
          <cell r="M175">
            <v>8</v>
          </cell>
        </row>
        <row r="176">
          <cell r="M176" t="str">
            <v/>
          </cell>
        </row>
        <row r="177">
          <cell r="M177">
            <v>9</v>
          </cell>
        </row>
        <row r="178">
          <cell r="M178">
            <v>9</v>
          </cell>
        </row>
        <row r="179">
          <cell r="M179">
            <v>9</v>
          </cell>
        </row>
        <row r="180">
          <cell r="M180">
            <v>9</v>
          </cell>
        </row>
        <row r="181">
          <cell r="M181">
            <v>9</v>
          </cell>
        </row>
        <row r="182">
          <cell r="M182" t="str">
            <v/>
          </cell>
        </row>
        <row r="183">
          <cell r="M183" t="str">
            <v/>
          </cell>
        </row>
        <row r="184">
          <cell r="M184">
            <v>10</v>
          </cell>
        </row>
        <row r="185">
          <cell r="M185">
            <v>10</v>
          </cell>
        </row>
        <row r="186">
          <cell r="M186">
            <v>10</v>
          </cell>
        </row>
        <row r="187">
          <cell r="M187">
            <v>10</v>
          </cell>
        </row>
        <row r="188">
          <cell r="M188">
            <v>10</v>
          </cell>
        </row>
        <row r="189">
          <cell r="M189">
            <v>10</v>
          </cell>
        </row>
        <row r="190">
          <cell r="M190">
            <v>10</v>
          </cell>
        </row>
        <row r="191">
          <cell r="M191">
            <v>10</v>
          </cell>
        </row>
        <row r="192">
          <cell r="M192">
            <v>10</v>
          </cell>
        </row>
        <row r="193">
          <cell r="M193">
            <v>10</v>
          </cell>
        </row>
        <row r="194">
          <cell r="M194">
            <v>10</v>
          </cell>
        </row>
        <row r="195">
          <cell r="M195">
            <v>10</v>
          </cell>
        </row>
        <row r="196">
          <cell r="M196">
            <v>10</v>
          </cell>
        </row>
        <row r="197">
          <cell r="M197">
            <v>10</v>
          </cell>
        </row>
        <row r="198">
          <cell r="M198">
            <v>10</v>
          </cell>
        </row>
        <row r="199">
          <cell r="M199" t="str">
            <v/>
          </cell>
        </row>
        <row r="200">
          <cell r="M200" t="str">
            <v/>
          </cell>
        </row>
        <row r="201">
          <cell r="M201">
            <v>11</v>
          </cell>
        </row>
        <row r="202">
          <cell r="M202">
            <v>11</v>
          </cell>
        </row>
        <row r="203">
          <cell r="M203">
            <v>11</v>
          </cell>
        </row>
        <row r="204">
          <cell r="M204">
            <v>11</v>
          </cell>
        </row>
        <row r="205">
          <cell r="M205">
            <v>11</v>
          </cell>
        </row>
        <row r="206">
          <cell r="M206" t="str">
            <v/>
          </cell>
        </row>
        <row r="207">
          <cell r="M207">
            <v>11</v>
          </cell>
        </row>
        <row r="208">
          <cell r="M208">
            <v>11</v>
          </cell>
        </row>
        <row r="209">
          <cell r="M209">
            <v>11</v>
          </cell>
        </row>
        <row r="210">
          <cell r="M210">
            <v>11</v>
          </cell>
        </row>
        <row r="211">
          <cell r="M211">
            <v>11</v>
          </cell>
        </row>
        <row r="212">
          <cell r="M212">
            <v>11</v>
          </cell>
        </row>
        <row r="213">
          <cell r="M213">
            <v>11</v>
          </cell>
        </row>
        <row r="214">
          <cell r="M214">
            <v>11</v>
          </cell>
        </row>
        <row r="215">
          <cell r="M215">
            <v>11</v>
          </cell>
        </row>
        <row r="216">
          <cell r="M216">
            <v>11</v>
          </cell>
        </row>
        <row r="217">
          <cell r="M217">
            <v>11</v>
          </cell>
        </row>
        <row r="218">
          <cell r="M218">
            <v>11</v>
          </cell>
        </row>
        <row r="219">
          <cell r="M219">
            <v>11</v>
          </cell>
        </row>
        <row r="220">
          <cell r="M220" t="str">
            <v/>
          </cell>
        </row>
        <row r="221">
          <cell r="M221">
            <v>11</v>
          </cell>
        </row>
        <row r="222">
          <cell r="M222">
            <v>11</v>
          </cell>
        </row>
        <row r="223">
          <cell r="M223">
            <v>11</v>
          </cell>
        </row>
        <row r="224">
          <cell r="M224">
            <v>11</v>
          </cell>
        </row>
        <row r="225">
          <cell r="M225">
            <v>11</v>
          </cell>
        </row>
        <row r="226">
          <cell r="M226">
            <v>11</v>
          </cell>
        </row>
        <row r="227">
          <cell r="M227">
            <v>11</v>
          </cell>
        </row>
        <row r="228">
          <cell r="M228">
            <v>11</v>
          </cell>
        </row>
        <row r="229">
          <cell r="M229" t="str">
            <v/>
          </cell>
        </row>
        <row r="230">
          <cell r="M230">
            <v>11</v>
          </cell>
        </row>
        <row r="231">
          <cell r="M231">
            <v>11</v>
          </cell>
        </row>
        <row r="232">
          <cell r="M232">
            <v>11</v>
          </cell>
        </row>
        <row r="233">
          <cell r="M233" t="str">
            <v/>
          </cell>
        </row>
        <row r="234">
          <cell r="M234" t="str">
            <v/>
          </cell>
        </row>
        <row r="235">
          <cell r="M235">
            <v>12</v>
          </cell>
        </row>
        <row r="236">
          <cell r="M236">
            <v>12</v>
          </cell>
        </row>
        <row r="237">
          <cell r="M237">
            <v>12</v>
          </cell>
        </row>
        <row r="238">
          <cell r="M238">
            <v>12</v>
          </cell>
        </row>
        <row r="239">
          <cell r="M239">
            <v>12</v>
          </cell>
        </row>
        <row r="240">
          <cell r="M240">
            <v>12</v>
          </cell>
        </row>
        <row r="241">
          <cell r="M241">
            <v>12</v>
          </cell>
        </row>
        <row r="242">
          <cell r="M242">
            <v>12</v>
          </cell>
        </row>
        <row r="243">
          <cell r="M243">
            <v>12</v>
          </cell>
        </row>
        <row r="244">
          <cell r="M244" t="str">
            <v/>
          </cell>
        </row>
        <row r="245">
          <cell r="M245">
            <v>12</v>
          </cell>
        </row>
        <row r="246">
          <cell r="M246">
            <v>12</v>
          </cell>
        </row>
        <row r="247">
          <cell r="M247" t="str">
            <v/>
          </cell>
        </row>
        <row r="248">
          <cell r="M248">
            <v>12</v>
          </cell>
        </row>
        <row r="249">
          <cell r="M249">
            <v>12</v>
          </cell>
        </row>
        <row r="250">
          <cell r="M250">
            <v>12</v>
          </cell>
        </row>
        <row r="251">
          <cell r="M251">
            <v>12</v>
          </cell>
        </row>
        <row r="252">
          <cell r="M252">
            <v>12</v>
          </cell>
        </row>
        <row r="253">
          <cell r="M253">
            <v>12</v>
          </cell>
        </row>
        <row r="254">
          <cell r="M254" t="str">
            <v/>
          </cell>
        </row>
        <row r="255">
          <cell r="M255" t="str">
            <v/>
          </cell>
        </row>
        <row r="256">
          <cell r="M256">
            <v>13</v>
          </cell>
        </row>
        <row r="257">
          <cell r="M257">
            <v>13</v>
          </cell>
        </row>
        <row r="258">
          <cell r="M258">
            <v>13</v>
          </cell>
        </row>
        <row r="259">
          <cell r="M259">
            <v>13</v>
          </cell>
        </row>
        <row r="260">
          <cell r="M260">
            <v>13</v>
          </cell>
        </row>
        <row r="261">
          <cell r="M261">
            <v>13</v>
          </cell>
        </row>
        <row r="262">
          <cell r="M262">
            <v>13</v>
          </cell>
        </row>
        <row r="263">
          <cell r="M263">
            <v>13</v>
          </cell>
        </row>
        <row r="264">
          <cell r="M264">
            <v>13</v>
          </cell>
        </row>
        <row r="265">
          <cell r="M265">
            <v>13</v>
          </cell>
        </row>
        <row r="266">
          <cell r="M266">
            <v>13</v>
          </cell>
        </row>
        <row r="267">
          <cell r="M267">
            <v>13</v>
          </cell>
        </row>
        <row r="268">
          <cell r="M268">
            <v>13</v>
          </cell>
        </row>
        <row r="269">
          <cell r="M269">
            <v>13</v>
          </cell>
        </row>
        <row r="270">
          <cell r="M270">
            <v>13</v>
          </cell>
        </row>
        <row r="271">
          <cell r="M271">
            <v>13</v>
          </cell>
        </row>
        <row r="272">
          <cell r="M272">
            <v>13</v>
          </cell>
        </row>
        <row r="273">
          <cell r="M273">
            <v>13</v>
          </cell>
        </row>
        <row r="274">
          <cell r="M274">
            <v>13</v>
          </cell>
        </row>
        <row r="275">
          <cell r="M275">
            <v>13</v>
          </cell>
        </row>
        <row r="276">
          <cell r="M276">
            <v>13</v>
          </cell>
        </row>
        <row r="277">
          <cell r="M277">
            <v>13</v>
          </cell>
        </row>
        <row r="278">
          <cell r="M278">
            <v>13</v>
          </cell>
        </row>
        <row r="279">
          <cell r="M279">
            <v>13</v>
          </cell>
        </row>
        <row r="280">
          <cell r="M280">
            <v>13</v>
          </cell>
        </row>
        <row r="281">
          <cell r="M281">
            <v>13</v>
          </cell>
        </row>
        <row r="282">
          <cell r="M282">
            <v>13</v>
          </cell>
        </row>
        <row r="283">
          <cell r="M283">
            <v>13</v>
          </cell>
        </row>
        <row r="284">
          <cell r="M284">
            <v>13</v>
          </cell>
        </row>
        <row r="285">
          <cell r="M285">
            <v>13</v>
          </cell>
        </row>
        <row r="286">
          <cell r="M286">
            <v>13</v>
          </cell>
        </row>
        <row r="287">
          <cell r="M287">
            <v>13</v>
          </cell>
        </row>
        <row r="288">
          <cell r="M288">
            <v>13</v>
          </cell>
        </row>
        <row r="289">
          <cell r="M289">
            <v>13</v>
          </cell>
        </row>
        <row r="290">
          <cell r="M290">
            <v>13</v>
          </cell>
        </row>
        <row r="291">
          <cell r="M291">
            <v>13</v>
          </cell>
        </row>
        <row r="292">
          <cell r="M292">
            <v>13</v>
          </cell>
        </row>
        <row r="293">
          <cell r="M293">
            <v>13</v>
          </cell>
        </row>
        <row r="294">
          <cell r="M294">
            <v>13</v>
          </cell>
        </row>
        <row r="295">
          <cell r="M295">
            <v>13</v>
          </cell>
        </row>
        <row r="296">
          <cell r="M296">
            <v>13</v>
          </cell>
        </row>
        <row r="297">
          <cell r="M297">
            <v>13</v>
          </cell>
        </row>
        <row r="298">
          <cell r="M298">
            <v>13</v>
          </cell>
        </row>
        <row r="299">
          <cell r="M299">
            <v>13</v>
          </cell>
        </row>
        <row r="300">
          <cell r="M300" t="str">
            <v/>
          </cell>
        </row>
        <row r="301">
          <cell r="M301">
            <v>13</v>
          </cell>
        </row>
        <row r="302">
          <cell r="M302">
            <v>13</v>
          </cell>
        </row>
        <row r="303">
          <cell r="M303">
            <v>13</v>
          </cell>
        </row>
        <row r="304">
          <cell r="M304">
            <v>13</v>
          </cell>
        </row>
        <row r="305">
          <cell r="M305">
            <v>13</v>
          </cell>
        </row>
        <row r="306">
          <cell r="M306">
            <v>13</v>
          </cell>
        </row>
        <row r="307">
          <cell r="M307">
            <v>13</v>
          </cell>
        </row>
        <row r="308">
          <cell r="M308">
            <v>13</v>
          </cell>
        </row>
        <row r="309">
          <cell r="M309" t="str">
            <v/>
          </cell>
        </row>
        <row r="310">
          <cell r="M310">
            <v>13</v>
          </cell>
        </row>
        <row r="311">
          <cell r="M311" t="str">
            <v/>
          </cell>
        </row>
        <row r="312">
          <cell r="M312" t="str">
            <v/>
          </cell>
        </row>
        <row r="313">
          <cell r="M313">
            <v>14</v>
          </cell>
        </row>
        <row r="314">
          <cell r="M314">
            <v>14</v>
          </cell>
        </row>
        <row r="315">
          <cell r="M315">
            <v>14</v>
          </cell>
        </row>
        <row r="316">
          <cell r="M316">
            <v>14</v>
          </cell>
        </row>
        <row r="317">
          <cell r="M317">
            <v>14</v>
          </cell>
        </row>
        <row r="318">
          <cell r="M318">
            <v>14</v>
          </cell>
        </row>
        <row r="319">
          <cell r="M319">
            <v>14</v>
          </cell>
        </row>
        <row r="320">
          <cell r="M320">
            <v>14</v>
          </cell>
        </row>
        <row r="321">
          <cell r="M321">
            <v>14</v>
          </cell>
        </row>
        <row r="322">
          <cell r="M322">
            <v>14</v>
          </cell>
        </row>
        <row r="323">
          <cell r="M323">
            <v>14</v>
          </cell>
        </row>
        <row r="324">
          <cell r="M324" t="str">
            <v/>
          </cell>
        </row>
        <row r="325">
          <cell r="M325">
            <v>14</v>
          </cell>
        </row>
        <row r="326">
          <cell r="M326">
            <v>14</v>
          </cell>
        </row>
        <row r="327">
          <cell r="M327" t="str">
            <v/>
          </cell>
        </row>
        <row r="328">
          <cell r="M328">
            <v>14</v>
          </cell>
        </row>
        <row r="329">
          <cell r="M329">
            <v>14</v>
          </cell>
        </row>
        <row r="330">
          <cell r="M330" t="str">
            <v/>
          </cell>
        </row>
        <row r="331">
          <cell r="M331" t="str">
            <v/>
          </cell>
        </row>
        <row r="332">
          <cell r="M332">
            <v>15</v>
          </cell>
        </row>
        <row r="333">
          <cell r="M333">
            <v>15</v>
          </cell>
        </row>
        <row r="334">
          <cell r="M334">
            <v>15</v>
          </cell>
        </row>
        <row r="335">
          <cell r="M335">
            <v>15</v>
          </cell>
        </row>
        <row r="336">
          <cell r="M336">
            <v>15</v>
          </cell>
        </row>
        <row r="337">
          <cell r="M337">
            <v>15</v>
          </cell>
        </row>
        <row r="338">
          <cell r="M338">
            <v>15</v>
          </cell>
        </row>
        <row r="339">
          <cell r="M339">
            <v>15</v>
          </cell>
        </row>
        <row r="340">
          <cell r="M340">
            <v>15</v>
          </cell>
        </row>
        <row r="341">
          <cell r="M341">
            <v>15</v>
          </cell>
        </row>
        <row r="342">
          <cell r="M342">
            <v>15</v>
          </cell>
        </row>
        <row r="343">
          <cell r="M343">
            <v>15</v>
          </cell>
        </row>
        <row r="344">
          <cell r="M344">
            <v>15</v>
          </cell>
        </row>
        <row r="345">
          <cell r="M345">
            <v>15</v>
          </cell>
        </row>
        <row r="346">
          <cell r="M346">
            <v>15</v>
          </cell>
        </row>
        <row r="347">
          <cell r="M347">
            <v>15</v>
          </cell>
        </row>
        <row r="348">
          <cell r="M348">
            <v>15</v>
          </cell>
        </row>
        <row r="349">
          <cell r="M349">
            <v>15</v>
          </cell>
        </row>
        <row r="350">
          <cell r="M350">
            <v>15</v>
          </cell>
        </row>
        <row r="351">
          <cell r="M351">
            <v>15</v>
          </cell>
        </row>
        <row r="352">
          <cell r="M352">
            <v>15</v>
          </cell>
        </row>
        <row r="353">
          <cell r="M353">
            <v>15</v>
          </cell>
        </row>
        <row r="354">
          <cell r="M354" t="str">
            <v/>
          </cell>
        </row>
        <row r="355">
          <cell r="M355">
            <v>15</v>
          </cell>
        </row>
        <row r="356">
          <cell r="M356">
            <v>15</v>
          </cell>
        </row>
        <row r="357">
          <cell r="M357">
            <v>15</v>
          </cell>
        </row>
        <row r="358">
          <cell r="M358">
            <v>15</v>
          </cell>
        </row>
        <row r="359">
          <cell r="M359">
            <v>15</v>
          </cell>
        </row>
        <row r="360">
          <cell r="M360">
            <v>15</v>
          </cell>
        </row>
        <row r="361">
          <cell r="M361">
            <v>15</v>
          </cell>
        </row>
        <row r="362">
          <cell r="M362" t="str">
            <v/>
          </cell>
        </row>
        <row r="363">
          <cell r="M363">
            <v>15</v>
          </cell>
        </row>
        <row r="364">
          <cell r="M364">
            <v>15</v>
          </cell>
        </row>
        <row r="365">
          <cell r="M365">
            <v>15</v>
          </cell>
        </row>
        <row r="366">
          <cell r="M366" t="str">
            <v/>
          </cell>
        </row>
        <row r="367">
          <cell r="M367">
            <v>15</v>
          </cell>
        </row>
        <row r="368">
          <cell r="M368">
            <v>15</v>
          </cell>
        </row>
        <row r="369">
          <cell r="M369">
            <v>15</v>
          </cell>
        </row>
        <row r="370">
          <cell r="M370">
            <v>15</v>
          </cell>
        </row>
        <row r="371">
          <cell r="M371">
            <v>15</v>
          </cell>
        </row>
        <row r="372">
          <cell r="M372">
            <v>15</v>
          </cell>
        </row>
        <row r="373">
          <cell r="M373">
            <v>15</v>
          </cell>
        </row>
        <row r="374">
          <cell r="M374">
            <v>15</v>
          </cell>
        </row>
        <row r="375">
          <cell r="M375">
            <v>15</v>
          </cell>
        </row>
        <row r="376">
          <cell r="M376" t="str">
            <v/>
          </cell>
        </row>
        <row r="377">
          <cell r="M377">
            <v>16</v>
          </cell>
        </row>
        <row r="378">
          <cell r="M378">
            <v>16</v>
          </cell>
        </row>
        <row r="379">
          <cell r="M379">
            <v>16</v>
          </cell>
        </row>
        <row r="380">
          <cell r="M380">
            <v>16</v>
          </cell>
        </row>
        <row r="381">
          <cell r="M381">
            <v>16</v>
          </cell>
        </row>
        <row r="382">
          <cell r="M382">
            <v>16</v>
          </cell>
        </row>
        <row r="383">
          <cell r="M383">
            <v>16</v>
          </cell>
        </row>
        <row r="384">
          <cell r="M384">
            <v>16</v>
          </cell>
        </row>
        <row r="385">
          <cell r="M385">
            <v>16</v>
          </cell>
        </row>
        <row r="386">
          <cell r="M386">
            <v>16</v>
          </cell>
        </row>
        <row r="387">
          <cell r="M387">
            <v>16</v>
          </cell>
        </row>
        <row r="388">
          <cell r="M388">
            <v>16</v>
          </cell>
        </row>
        <row r="389">
          <cell r="M389">
            <v>16</v>
          </cell>
        </row>
        <row r="390">
          <cell r="M390">
            <v>16</v>
          </cell>
        </row>
        <row r="391">
          <cell r="M391">
            <v>16</v>
          </cell>
        </row>
        <row r="392">
          <cell r="M392">
            <v>16</v>
          </cell>
        </row>
        <row r="393">
          <cell r="M393">
            <v>16</v>
          </cell>
        </row>
        <row r="394">
          <cell r="M394">
            <v>16</v>
          </cell>
        </row>
        <row r="395">
          <cell r="M395">
            <v>16</v>
          </cell>
        </row>
        <row r="396">
          <cell r="M396">
            <v>16</v>
          </cell>
        </row>
        <row r="397">
          <cell r="M397">
            <v>16</v>
          </cell>
        </row>
        <row r="398">
          <cell r="M398">
            <v>16</v>
          </cell>
        </row>
        <row r="399">
          <cell r="M399">
            <v>16</v>
          </cell>
        </row>
        <row r="400">
          <cell r="M400">
            <v>16</v>
          </cell>
        </row>
        <row r="401">
          <cell r="M401">
            <v>16</v>
          </cell>
        </row>
        <row r="402">
          <cell r="M402">
            <v>16</v>
          </cell>
        </row>
        <row r="403">
          <cell r="M403">
            <v>16</v>
          </cell>
        </row>
        <row r="404">
          <cell r="M404">
            <v>16</v>
          </cell>
        </row>
        <row r="405">
          <cell r="M405">
            <v>16</v>
          </cell>
        </row>
        <row r="406">
          <cell r="M406">
            <v>16</v>
          </cell>
        </row>
        <row r="407">
          <cell r="M407">
            <v>16</v>
          </cell>
        </row>
        <row r="408">
          <cell r="M408">
            <v>16</v>
          </cell>
        </row>
        <row r="409">
          <cell r="M409">
            <v>16</v>
          </cell>
        </row>
        <row r="410">
          <cell r="M410">
            <v>16</v>
          </cell>
        </row>
        <row r="411">
          <cell r="M411" t="str">
            <v/>
          </cell>
        </row>
        <row r="412">
          <cell r="M412" t="str">
            <v/>
          </cell>
        </row>
        <row r="413">
          <cell r="M413">
            <v>17</v>
          </cell>
        </row>
        <row r="414">
          <cell r="M414">
            <v>17</v>
          </cell>
        </row>
        <row r="415">
          <cell r="M415" t="str">
            <v/>
          </cell>
        </row>
        <row r="416">
          <cell r="M416">
            <v>17</v>
          </cell>
        </row>
        <row r="417">
          <cell r="M417">
            <v>17</v>
          </cell>
        </row>
        <row r="418">
          <cell r="M418" t="str">
            <v/>
          </cell>
        </row>
        <row r="419">
          <cell r="M419">
            <v>17</v>
          </cell>
        </row>
        <row r="420">
          <cell r="M420">
            <v>17</v>
          </cell>
        </row>
        <row r="421">
          <cell r="M421">
            <v>17</v>
          </cell>
        </row>
        <row r="422">
          <cell r="M422">
            <v>17</v>
          </cell>
        </row>
        <row r="423">
          <cell r="M423">
            <v>17</v>
          </cell>
        </row>
        <row r="424">
          <cell r="M424">
            <v>17</v>
          </cell>
        </row>
        <row r="425">
          <cell r="M425">
            <v>17</v>
          </cell>
        </row>
        <row r="426">
          <cell r="M426">
            <v>17</v>
          </cell>
        </row>
        <row r="427">
          <cell r="M427">
            <v>17</v>
          </cell>
        </row>
        <row r="428">
          <cell r="M428">
            <v>17</v>
          </cell>
        </row>
        <row r="429">
          <cell r="M429">
            <v>17</v>
          </cell>
        </row>
        <row r="430">
          <cell r="M430">
            <v>17</v>
          </cell>
        </row>
        <row r="431">
          <cell r="M431">
            <v>17</v>
          </cell>
        </row>
        <row r="432">
          <cell r="M432">
            <v>17</v>
          </cell>
        </row>
        <row r="433">
          <cell r="M433">
            <v>17</v>
          </cell>
        </row>
        <row r="434">
          <cell r="M434">
            <v>17</v>
          </cell>
        </row>
        <row r="435">
          <cell r="M435">
            <v>17</v>
          </cell>
        </row>
        <row r="436">
          <cell r="M436" t="str">
            <v/>
          </cell>
        </row>
        <row r="437">
          <cell r="M437">
            <v>17</v>
          </cell>
        </row>
        <row r="438">
          <cell r="M438">
            <v>17</v>
          </cell>
        </row>
        <row r="439">
          <cell r="M439">
            <v>17</v>
          </cell>
        </row>
        <row r="440">
          <cell r="M440">
            <v>17</v>
          </cell>
        </row>
        <row r="441">
          <cell r="M441">
            <v>17</v>
          </cell>
        </row>
        <row r="442">
          <cell r="M442">
            <v>17</v>
          </cell>
        </row>
        <row r="443">
          <cell r="M443">
            <v>17</v>
          </cell>
        </row>
        <row r="444">
          <cell r="M444">
            <v>17</v>
          </cell>
        </row>
        <row r="445">
          <cell r="M445">
            <v>17</v>
          </cell>
        </row>
        <row r="446">
          <cell r="M446">
            <v>17</v>
          </cell>
        </row>
        <row r="447">
          <cell r="M447">
            <v>17</v>
          </cell>
        </row>
        <row r="448">
          <cell r="M448">
            <v>17</v>
          </cell>
        </row>
        <row r="449">
          <cell r="M449">
            <v>17</v>
          </cell>
        </row>
        <row r="450">
          <cell r="M450">
            <v>17</v>
          </cell>
        </row>
        <row r="451">
          <cell r="M451">
            <v>17</v>
          </cell>
        </row>
        <row r="452">
          <cell r="M452">
            <v>17</v>
          </cell>
        </row>
        <row r="453">
          <cell r="M453">
            <v>17</v>
          </cell>
        </row>
        <row r="454">
          <cell r="M454">
            <v>17</v>
          </cell>
        </row>
        <row r="455">
          <cell r="M455">
            <v>17</v>
          </cell>
        </row>
        <row r="456">
          <cell r="M456">
            <v>17</v>
          </cell>
        </row>
        <row r="457">
          <cell r="M457">
            <v>17</v>
          </cell>
        </row>
        <row r="458">
          <cell r="M458">
            <v>17</v>
          </cell>
        </row>
        <row r="459">
          <cell r="M459">
            <v>17</v>
          </cell>
        </row>
        <row r="460">
          <cell r="M460">
            <v>17</v>
          </cell>
        </row>
        <row r="461">
          <cell r="M461">
            <v>17</v>
          </cell>
        </row>
        <row r="462">
          <cell r="M462">
            <v>17</v>
          </cell>
        </row>
        <row r="463">
          <cell r="M463">
            <v>17</v>
          </cell>
        </row>
        <row r="464">
          <cell r="M464">
            <v>17</v>
          </cell>
        </row>
        <row r="465">
          <cell r="M465">
            <v>17</v>
          </cell>
        </row>
        <row r="466">
          <cell r="M466">
            <v>17</v>
          </cell>
        </row>
        <row r="467">
          <cell r="M467">
            <v>17</v>
          </cell>
        </row>
        <row r="468">
          <cell r="M468">
            <v>17</v>
          </cell>
        </row>
        <row r="469">
          <cell r="M469" t="str">
            <v/>
          </cell>
        </row>
        <row r="470">
          <cell r="M470">
            <v>17</v>
          </cell>
        </row>
        <row r="471">
          <cell r="M471">
            <v>17</v>
          </cell>
        </row>
        <row r="472">
          <cell r="M472">
            <v>17</v>
          </cell>
        </row>
        <row r="473">
          <cell r="M473">
            <v>17</v>
          </cell>
        </row>
        <row r="474">
          <cell r="M474" t="str">
            <v/>
          </cell>
        </row>
        <row r="475">
          <cell r="M475" t="str">
            <v/>
          </cell>
        </row>
        <row r="476">
          <cell r="M476">
            <v>18</v>
          </cell>
        </row>
        <row r="477">
          <cell r="M477">
            <v>18</v>
          </cell>
        </row>
        <row r="478">
          <cell r="M478">
            <v>18</v>
          </cell>
        </row>
        <row r="479">
          <cell r="M479">
            <v>18</v>
          </cell>
        </row>
        <row r="480">
          <cell r="M480">
            <v>18</v>
          </cell>
        </row>
        <row r="481">
          <cell r="M481">
            <v>18</v>
          </cell>
        </row>
        <row r="482">
          <cell r="M482">
            <v>18</v>
          </cell>
        </row>
        <row r="483">
          <cell r="M483">
            <v>18</v>
          </cell>
        </row>
        <row r="484">
          <cell r="M484">
            <v>18</v>
          </cell>
        </row>
        <row r="485">
          <cell r="M485" t="str">
            <v/>
          </cell>
        </row>
        <row r="486">
          <cell r="M486">
            <v>18</v>
          </cell>
        </row>
        <row r="487">
          <cell r="M487">
            <v>18</v>
          </cell>
        </row>
        <row r="488">
          <cell r="M488">
            <v>18</v>
          </cell>
        </row>
        <row r="489">
          <cell r="M489">
            <v>18</v>
          </cell>
        </row>
        <row r="490">
          <cell r="M490">
            <v>18</v>
          </cell>
        </row>
        <row r="491">
          <cell r="M491">
            <v>18</v>
          </cell>
        </row>
        <row r="492">
          <cell r="M492">
            <v>18</v>
          </cell>
        </row>
        <row r="493">
          <cell r="M493">
            <v>18</v>
          </cell>
        </row>
        <row r="494">
          <cell r="M494">
            <v>18</v>
          </cell>
        </row>
        <row r="495">
          <cell r="M495">
            <v>18</v>
          </cell>
        </row>
        <row r="496">
          <cell r="M496">
            <v>18</v>
          </cell>
        </row>
        <row r="497">
          <cell r="M497">
            <v>18</v>
          </cell>
        </row>
        <row r="498">
          <cell r="M498">
            <v>18</v>
          </cell>
        </row>
        <row r="499">
          <cell r="M499">
            <v>18</v>
          </cell>
        </row>
        <row r="500">
          <cell r="M500">
            <v>18</v>
          </cell>
        </row>
        <row r="501">
          <cell r="M501">
            <v>18</v>
          </cell>
        </row>
        <row r="502">
          <cell r="M502">
            <v>18</v>
          </cell>
        </row>
        <row r="503">
          <cell r="M503" t="str">
            <v/>
          </cell>
        </row>
        <row r="504">
          <cell r="M504">
            <v>18</v>
          </cell>
        </row>
        <row r="505">
          <cell r="M505">
            <v>18</v>
          </cell>
        </row>
        <row r="506">
          <cell r="M506">
            <v>18</v>
          </cell>
        </row>
        <row r="507">
          <cell r="M507">
            <v>18</v>
          </cell>
        </row>
        <row r="508">
          <cell r="M508">
            <v>18</v>
          </cell>
        </row>
        <row r="509">
          <cell r="M509">
            <v>18</v>
          </cell>
        </row>
        <row r="510">
          <cell r="M510">
            <v>18</v>
          </cell>
        </row>
        <row r="511">
          <cell r="M511">
            <v>18</v>
          </cell>
        </row>
        <row r="512">
          <cell r="M512">
            <v>18</v>
          </cell>
        </row>
        <row r="513">
          <cell r="M513">
            <v>18</v>
          </cell>
        </row>
        <row r="514">
          <cell r="M514" t="str">
            <v/>
          </cell>
        </row>
        <row r="515">
          <cell r="M515">
            <v>18</v>
          </cell>
        </row>
        <row r="516">
          <cell r="M516">
            <v>18</v>
          </cell>
        </row>
        <row r="517">
          <cell r="M517" t="str">
            <v/>
          </cell>
        </row>
        <row r="518">
          <cell r="M518">
            <v>18</v>
          </cell>
        </row>
        <row r="519">
          <cell r="M519">
            <v>18</v>
          </cell>
        </row>
        <row r="520">
          <cell r="M520">
            <v>18</v>
          </cell>
        </row>
        <row r="521">
          <cell r="M521">
            <v>18</v>
          </cell>
        </row>
        <row r="522">
          <cell r="M522">
            <v>18</v>
          </cell>
        </row>
        <row r="523">
          <cell r="M523">
            <v>18</v>
          </cell>
        </row>
        <row r="524">
          <cell r="M524">
            <v>18</v>
          </cell>
        </row>
        <row r="525">
          <cell r="M525">
            <v>18</v>
          </cell>
        </row>
        <row r="526">
          <cell r="M526">
            <v>18</v>
          </cell>
        </row>
        <row r="527">
          <cell r="M527">
            <v>18</v>
          </cell>
        </row>
        <row r="528">
          <cell r="M528">
            <v>18</v>
          </cell>
        </row>
        <row r="529">
          <cell r="M529" t="str">
            <v/>
          </cell>
        </row>
        <row r="530">
          <cell r="M530">
            <v>18</v>
          </cell>
        </row>
        <row r="531">
          <cell r="M531">
            <v>18</v>
          </cell>
        </row>
        <row r="532">
          <cell r="M532">
            <v>18</v>
          </cell>
        </row>
        <row r="533">
          <cell r="M533">
            <v>18</v>
          </cell>
        </row>
        <row r="534">
          <cell r="M534">
            <v>18</v>
          </cell>
        </row>
        <row r="535">
          <cell r="M535">
            <v>18</v>
          </cell>
        </row>
        <row r="536">
          <cell r="M536">
            <v>18</v>
          </cell>
        </row>
        <row r="537">
          <cell r="M537">
            <v>18</v>
          </cell>
        </row>
        <row r="538">
          <cell r="M538">
            <v>18</v>
          </cell>
        </row>
        <row r="539">
          <cell r="M539">
            <v>18</v>
          </cell>
        </row>
        <row r="540">
          <cell r="M540" t="str">
            <v/>
          </cell>
        </row>
        <row r="541">
          <cell r="M541">
            <v>18</v>
          </cell>
        </row>
        <row r="542">
          <cell r="M542">
            <v>18</v>
          </cell>
        </row>
        <row r="543">
          <cell r="M543">
            <v>18</v>
          </cell>
        </row>
        <row r="544">
          <cell r="M544">
            <v>18</v>
          </cell>
        </row>
        <row r="545">
          <cell r="M545">
            <v>18</v>
          </cell>
        </row>
        <row r="546">
          <cell r="M546" t="str">
            <v/>
          </cell>
        </row>
        <row r="547">
          <cell r="M547">
            <v>18</v>
          </cell>
        </row>
        <row r="548">
          <cell r="M548">
            <v>18</v>
          </cell>
        </row>
        <row r="549">
          <cell r="M549">
            <v>18</v>
          </cell>
        </row>
        <row r="550">
          <cell r="M550">
            <v>18</v>
          </cell>
        </row>
        <row r="551">
          <cell r="M551">
            <v>18</v>
          </cell>
        </row>
        <row r="552">
          <cell r="M552">
            <v>18</v>
          </cell>
        </row>
        <row r="553">
          <cell r="M553">
            <v>18</v>
          </cell>
        </row>
        <row r="554">
          <cell r="M554">
            <v>18</v>
          </cell>
        </row>
        <row r="555">
          <cell r="M555" t="str">
            <v/>
          </cell>
        </row>
        <row r="556">
          <cell r="M556">
            <v>18</v>
          </cell>
        </row>
        <row r="557">
          <cell r="M557">
            <v>18</v>
          </cell>
        </row>
        <row r="558">
          <cell r="M558" t="str">
            <v/>
          </cell>
        </row>
        <row r="559">
          <cell r="M559">
            <v>18</v>
          </cell>
        </row>
        <row r="560">
          <cell r="M560">
            <v>18</v>
          </cell>
        </row>
        <row r="561">
          <cell r="M561">
            <v>18</v>
          </cell>
        </row>
        <row r="562">
          <cell r="M562">
            <v>18</v>
          </cell>
        </row>
        <row r="563">
          <cell r="M563">
            <v>18</v>
          </cell>
        </row>
        <row r="564">
          <cell r="M564">
            <v>18</v>
          </cell>
        </row>
        <row r="565">
          <cell r="M565">
            <v>18</v>
          </cell>
        </row>
        <row r="566">
          <cell r="M566">
            <v>18</v>
          </cell>
        </row>
        <row r="567">
          <cell r="M567">
            <v>18</v>
          </cell>
        </row>
        <row r="568">
          <cell r="M568" t="str">
            <v/>
          </cell>
        </row>
        <row r="569">
          <cell r="M569">
            <v>18</v>
          </cell>
        </row>
        <row r="570">
          <cell r="M570">
            <v>18</v>
          </cell>
        </row>
        <row r="571">
          <cell r="M571">
            <v>18</v>
          </cell>
        </row>
        <row r="572">
          <cell r="M572">
            <v>18</v>
          </cell>
        </row>
        <row r="573">
          <cell r="M573">
            <v>18</v>
          </cell>
        </row>
        <row r="574">
          <cell r="M574" t="str">
            <v/>
          </cell>
        </row>
        <row r="575">
          <cell r="M575" t="str">
            <v/>
          </cell>
        </row>
        <row r="576">
          <cell r="M576">
            <v>19</v>
          </cell>
        </row>
        <row r="577">
          <cell r="M577">
            <v>19</v>
          </cell>
        </row>
        <row r="578">
          <cell r="M578">
            <v>19</v>
          </cell>
        </row>
        <row r="579">
          <cell r="M579">
            <v>19</v>
          </cell>
        </row>
        <row r="580">
          <cell r="M580">
            <v>19</v>
          </cell>
        </row>
        <row r="581">
          <cell r="M581">
            <v>19</v>
          </cell>
        </row>
        <row r="582">
          <cell r="M582">
            <v>19</v>
          </cell>
        </row>
        <row r="583">
          <cell r="M583">
            <v>19</v>
          </cell>
        </row>
        <row r="584">
          <cell r="M584" t="str">
            <v/>
          </cell>
        </row>
        <row r="585">
          <cell r="M585">
            <v>19</v>
          </cell>
        </row>
        <row r="586">
          <cell r="M586">
            <v>19</v>
          </cell>
        </row>
        <row r="587">
          <cell r="M587">
            <v>19</v>
          </cell>
        </row>
        <row r="588">
          <cell r="M588">
            <v>19</v>
          </cell>
        </row>
        <row r="589">
          <cell r="M589">
            <v>19</v>
          </cell>
        </row>
        <row r="590">
          <cell r="M590">
            <v>19</v>
          </cell>
        </row>
        <row r="591">
          <cell r="M591">
            <v>19</v>
          </cell>
        </row>
        <row r="592">
          <cell r="M592" t="str">
            <v/>
          </cell>
        </row>
        <row r="593">
          <cell r="M593">
            <v>19</v>
          </cell>
        </row>
        <row r="594">
          <cell r="M594" t="str">
            <v/>
          </cell>
        </row>
        <row r="595">
          <cell r="M595">
            <v>19</v>
          </cell>
        </row>
        <row r="596">
          <cell r="M596">
            <v>19</v>
          </cell>
        </row>
        <row r="597">
          <cell r="M597" t="str">
            <v/>
          </cell>
        </row>
        <row r="598">
          <cell r="M598">
            <v>19</v>
          </cell>
        </row>
        <row r="599">
          <cell r="M599">
            <v>19</v>
          </cell>
        </row>
        <row r="600">
          <cell r="M600">
            <v>19</v>
          </cell>
        </row>
        <row r="601">
          <cell r="M601">
            <v>19</v>
          </cell>
        </row>
        <row r="602">
          <cell r="M602">
            <v>19</v>
          </cell>
        </row>
        <row r="603">
          <cell r="M603">
            <v>19</v>
          </cell>
        </row>
        <row r="604">
          <cell r="M604">
            <v>19</v>
          </cell>
        </row>
        <row r="605">
          <cell r="M605">
            <v>19</v>
          </cell>
        </row>
        <row r="606">
          <cell r="M606" t="str">
            <v/>
          </cell>
        </row>
        <row r="607">
          <cell r="M607">
            <v>19</v>
          </cell>
        </row>
        <row r="608">
          <cell r="M608" t="str">
            <v/>
          </cell>
        </row>
        <row r="609">
          <cell r="M609">
            <v>20</v>
          </cell>
        </row>
        <row r="610">
          <cell r="M610">
            <v>20</v>
          </cell>
        </row>
        <row r="611">
          <cell r="M611">
            <v>20</v>
          </cell>
        </row>
        <row r="612">
          <cell r="M612">
            <v>20</v>
          </cell>
        </row>
        <row r="613">
          <cell r="M613">
            <v>20</v>
          </cell>
        </row>
        <row r="614">
          <cell r="M614">
            <v>20</v>
          </cell>
        </row>
        <row r="615">
          <cell r="M615">
            <v>20</v>
          </cell>
        </row>
        <row r="616">
          <cell r="M616">
            <v>20</v>
          </cell>
        </row>
        <row r="617">
          <cell r="M617">
            <v>20</v>
          </cell>
        </row>
        <row r="618">
          <cell r="M618">
            <v>20</v>
          </cell>
        </row>
        <row r="619">
          <cell r="M619">
            <v>20</v>
          </cell>
        </row>
        <row r="620">
          <cell r="M620">
            <v>20</v>
          </cell>
        </row>
        <row r="621">
          <cell r="M621">
            <v>20</v>
          </cell>
        </row>
        <row r="622">
          <cell r="M622" t="str">
            <v/>
          </cell>
        </row>
        <row r="623">
          <cell r="M623" t="str">
            <v/>
          </cell>
        </row>
        <row r="624">
          <cell r="M624">
            <v>21</v>
          </cell>
        </row>
        <row r="625">
          <cell r="M625">
            <v>21</v>
          </cell>
        </row>
        <row r="626">
          <cell r="M626">
            <v>21</v>
          </cell>
        </row>
        <row r="627">
          <cell r="M627">
            <v>21</v>
          </cell>
        </row>
        <row r="628">
          <cell r="M628">
            <v>21</v>
          </cell>
        </row>
        <row r="629">
          <cell r="M629" t="str">
            <v/>
          </cell>
        </row>
        <row r="630">
          <cell r="M630">
            <v>21</v>
          </cell>
        </row>
        <row r="631">
          <cell r="M631">
            <v>21</v>
          </cell>
        </row>
        <row r="632">
          <cell r="M632">
            <v>21</v>
          </cell>
        </row>
        <row r="633">
          <cell r="M633">
            <v>21</v>
          </cell>
        </row>
        <row r="634">
          <cell r="M634">
            <v>21</v>
          </cell>
        </row>
        <row r="635">
          <cell r="M635">
            <v>21</v>
          </cell>
        </row>
        <row r="636">
          <cell r="M636">
            <v>21</v>
          </cell>
        </row>
        <row r="637">
          <cell r="M637">
            <v>21</v>
          </cell>
        </row>
        <row r="638">
          <cell r="M638">
            <v>21</v>
          </cell>
        </row>
        <row r="639">
          <cell r="M639">
            <v>21</v>
          </cell>
        </row>
        <row r="640">
          <cell r="M640">
            <v>21</v>
          </cell>
        </row>
        <row r="641">
          <cell r="M641" t="str">
            <v/>
          </cell>
        </row>
        <row r="642">
          <cell r="M642">
            <v>21</v>
          </cell>
        </row>
        <row r="643">
          <cell r="M643">
            <v>21</v>
          </cell>
        </row>
        <row r="644">
          <cell r="M644" t="str">
            <v/>
          </cell>
        </row>
        <row r="645">
          <cell r="M645">
            <v>22</v>
          </cell>
        </row>
        <row r="646">
          <cell r="M646">
            <v>22</v>
          </cell>
        </row>
        <row r="647">
          <cell r="M647">
            <v>22</v>
          </cell>
        </row>
        <row r="648">
          <cell r="M648" t="str">
            <v/>
          </cell>
        </row>
        <row r="649">
          <cell r="M649">
            <v>23</v>
          </cell>
        </row>
        <row r="650">
          <cell r="M650">
            <v>23</v>
          </cell>
        </row>
        <row r="651">
          <cell r="M651">
            <v>23</v>
          </cell>
        </row>
        <row r="652">
          <cell r="M652">
            <v>23</v>
          </cell>
        </row>
        <row r="653">
          <cell r="M653">
            <v>23</v>
          </cell>
        </row>
        <row r="654">
          <cell r="M654">
            <v>23</v>
          </cell>
        </row>
        <row r="655">
          <cell r="M655">
            <v>23</v>
          </cell>
        </row>
        <row r="656">
          <cell r="M656">
            <v>23</v>
          </cell>
        </row>
        <row r="657">
          <cell r="M657">
            <v>23</v>
          </cell>
        </row>
        <row r="658">
          <cell r="M658">
            <v>23</v>
          </cell>
        </row>
        <row r="659">
          <cell r="M659">
            <v>23</v>
          </cell>
        </row>
        <row r="660">
          <cell r="M660">
            <v>23</v>
          </cell>
        </row>
        <row r="661">
          <cell r="M661">
            <v>23</v>
          </cell>
        </row>
        <row r="662">
          <cell r="M662" t="str">
            <v/>
          </cell>
        </row>
        <row r="663">
          <cell r="M663">
            <v>24</v>
          </cell>
        </row>
        <row r="664">
          <cell r="M664">
            <v>24</v>
          </cell>
        </row>
        <row r="665">
          <cell r="M665">
            <v>24</v>
          </cell>
        </row>
        <row r="666">
          <cell r="M666">
            <v>24</v>
          </cell>
        </row>
        <row r="667">
          <cell r="M667">
            <v>24</v>
          </cell>
        </row>
        <row r="668">
          <cell r="M668">
            <v>24</v>
          </cell>
        </row>
        <row r="669">
          <cell r="M669">
            <v>24</v>
          </cell>
        </row>
        <row r="670">
          <cell r="M670">
            <v>24</v>
          </cell>
        </row>
        <row r="671">
          <cell r="M671">
            <v>24</v>
          </cell>
        </row>
        <row r="672">
          <cell r="M672">
            <v>24</v>
          </cell>
        </row>
        <row r="673">
          <cell r="M673" t="str">
            <v/>
          </cell>
        </row>
        <row r="674">
          <cell r="M674" t="str">
            <v/>
          </cell>
        </row>
        <row r="675">
          <cell r="M675">
            <v>25</v>
          </cell>
        </row>
        <row r="676">
          <cell r="M676">
            <v>25</v>
          </cell>
        </row>
        <row r="677">
          <cell r="M677">
            <v>25</v>
          </cell>
        </row>
        <row r="678">
          <cell r="M678">
            <v>25</v>
          </cell>
        </row>
        <row r="679">
          <cell r="M679" t="str">
            <v/>
          </cell>
        </row>
        <row r="680">
          <cell r="M680">
            <v>25</v>
          </cell>
        </row>
        <row r="681">
          <cell r="M681">
            <v>25</v>
          </cell>
        </row>
        <row r="682">
          <cell r="M682">
            <v>25</v>
          </cell>
        </row>
        <row r="683">
          <cell r="M683">
            <v>25</v>
          </cell>
        </row>
        <row r="684">
          <cell r="M684">
            <v>25</v>
          </cell>
        </row>
        <row r="685">
          <cell r="M685">
            <v>25</v>
          </cell>
        </row>
        <row r="686">
          <cell r="M686">
            <v>25</v>
          </cell>
        </row>
        <row r="687">
          <cell r="M687" t="str">
            <v/>
          </cell>
        </row>
        <row r="688">
          <cell r="M688" t="str">
            <v/>
          </cell>
        </row>
        <row r="689">
          <cell r="M689">
            <v>25</v>
          </cell>
        </row>
        <row r="690">
          <cell r="M690">
            <v>25</v>
          </cell>
        </row>
        <row r="691">
          <cell r="M691">
            <v>25</v>
          </cell>
        </row>
        <row r="692">
          <cell r="M692">
            <v>25</v>
          </cell>
        </row>
        <row r="693">
          <cell r="M693">
            <v>25</v>
          </cell>
        </row>
        <row r="694">
          <cell r="M694">
            <v>25</v>
          </cell>
        </row>
        <row r="695">
          <cell r="M695" t="str">
            <v/>
          </cell>
        </row>
        <row r="696">
          <cell r="M696">
            <v>25</v>
          </cell>
        </row>
        <row r="697">
          <cell r="M697">
            <v>25</v>
          </cell>
        </row>
        <row r="698">
          <cell r="M698">
            <v>25</v>
          </cell>
        </row>
        <row r="699">
          <cell r="M699">
            <v>25</v>
          </cell>
        </row>
        <row r="700">
          <cell r="M700" t="str">
            <v/>
          </cell>
        </row>
        <row r="701">
          <cell r="M701">
            <v>25</v>
          </cell>
        </row>
        <row r="702">
          <cell r="M702">
            <v>25</v>
          </cell>
        </row>
        <row r="703">
          <cell r="M703">
            <v>25</v>
          </cell>
        </row>
        <row r="704">
          <cell r="M704">
            <v>25</v>
          </cell>
        </row>
        <row r="705">
          <cell r="M705" t="str">
            <v/>
          </cell>
        </row>
        <row r="706">
          <cell r="M706">
            <v>25</v>
          </cell>
        </row>
        <row r="707">
          <cell r="M707" t="str">
            <v/>
          </cell>
        </row>
        <row r="708">
          <cell r="M708">
            <v>25</v>
          </cell>
        </row>
        <row r="709">
          <cell r="M709">
            <v>25</v>
          </cell>
        </row>
        <row r="710">
          <cell r="M710" t="str">
            <v/>
          </cell>
        </row>
        <row r="711">
          <cell r="M711">
            <v>25</v>
          </cell>
        </row>
        <row r="712">
          <cell r="M712">
            <v>25</v>
          </cell>
        </row>
        <row r="713">
          <cell r="M713">
            <v>25</v>
          </cell>
        </row>
        <row r="714">
          <cell r="M714">
            <v>25</v>
          </cell>
        </row>
        <row r="715">
          <cell r="M715">
            <v>25</v>
          </cell>
        </row>
        <row r="716">
          <cell r="M716" t="str">
            <v/>
          </cell>
        </row>
        <row r="717">
          <cell r="M717">
            <v>25</v>
          </cell>
        </row>
        <row r="718">
          <cell r="M718">
            <v>25</v>
          </cell>
        </row>
        <row r="719">
          <cell r="M719" t="str">
            <v/>
          </cell>
        </row>
        <row r="720">
          <cell r="M720">
            <v>26</v>
          </cell>
        </row>
        <row r="721">
          <cell r="M721">
            <v>26</v>
          </cell>
        </row>
        <row r="722">
          <cell r="M722">
            <v>26</v>
          </cell>
        </row>
      </sheetData>
      <sheetData sheetId="7">
        <row r="6">
          <cell r="B6" t="str">
            <v>NO ACOMPANHAMENTO POR BM, UTILIZE A ABA CRONO</v>
          </cell>
        </row>
        <row r="15">
          <cell r="F15" t="str">
            <v/>
          </cell>
        </row>
        <row r="16">
          <cell r="F16" t="str">
            <v>1. ADMINISTRAÇÃO LOCAL</v>
          </cell>
        </row>
        <row r="17">
          <cell r="F17" t="str">
            <v>2. SERVIÇOS PRELIMINARES</v>
          </cell>
        </row>
        <row r="18">
          <cell r="F18" t="str">
            <v>3. MOVIMENTO DE TERRA PARA FUNDAÇÕES</v>
          </cell>
        </row>
        <row r="19">
          <cell r="F19" t="str">
            <v>4. FUNDAÇÕES</v>
          </cell>
        </row>
        <row r="20">
          <cell r="F20" t="str">
            <v>5. SUPERESTRUTURA</v>
          </cell>
        </row>
        <row r="21">
          <cell r="F21" t="str">
            <v>6. SISTEMA DE VEDAÇÃO VERTICAL</v>
          </cell>
        </row>
        <row r="22">
          <cell r="F22" t="str">
            <v>7. ESQUADRIAS</v>
          </cell>
        </row>
        <row r="23">
          <cell r="F23" t="str">
            <v>8. SISTEMAS DE COBERTURA</v>
          </cell>
        </row>
        <row r="24">
          <cell r="F24" t="str">
            <v>9. IMPERMEABILIZAÇÃO</v>
          </cell>
        </row>
        <row r="25">
          <cell r="F25" t="str">
            <v>10. REVESTIMENTOS INTERNO E EXTERNO</v>
          </cell>
        </row>
        <row r="26">
          <cell r="F26" t="str">
            <v>11. SISTEMAS DE PISOS</v>
          </cell>
        </row>
        <row r="27">
          <cell r="F27" t="str">
            <v>12. PINTURAS E ACABAMENTOS</v>
          </cell>
        </row>
        <row r="28">
          <cell r="F28" t="str">
            <v>13. INSTALAÇÕES DE ÁGUA FRIA</v>
          </cell>
        </row>
        <row r="29">
          <cell r="F29" t="str">
            <v>14. INSTALAÇÕES DE ÁGUAS PLUVIAIS</v>
          </cell>
        </row>
        <row r="30">
          <cell r="F30" t="str">
            <v>15. INSTALAÇÕES DE ESGOTO SANITÁRIO</v>
          </cell>
        </row>
        <row r="31">
          <cell r="F31" t="str">
            <v>16. LOUÇAS, ACESSÓRIOS E METAIS</v>
          </cell>
        </row>
        <row r="32">
          <cell r="F32" t="str">
            <v>17. INSTALAÇÕES DE PROTEÇÃO CONTRA INCÊNDIO</v>
          </cell>
        </row>
        <row r="33">
          <cell r="F33" t="str">
            <v>18. INSTALAÇÕES ELÉTRICAS - 220V</v>
          </cell>
        </row>
        <row r="34">
          <cell r="F34" t="str">
            <v>19. INSTALAÇÕES DE CABEAMENTO ESTRUTURADO</v>
          </cell>
        </row>
        <row r="35">
          <cell r="F35" t="str">
            <v>20. INSTALAÇÕES DO SISTEMA DE PROTEÇÃO CONTRA DESCARGAS ATMOSFÉRICAS (SPDA)</v>
          </cell>
        </row>
        <row r="36">
          <cell r="F36" t="str">
            <v>21. INSTALAÇÕES DE CLIMATIZAÇÃO</v>
          </cell>
        </row>
        <row r="37">
          <cell r="F37" t="str">
            <v>22. INSTALAÇÕES DE EXAUSTÃO MECÂNICA</v>
          </cell>
        </row>
        <row r="38">
          <cell r="F38" t="str">
            <v>23. INSTALAÇÕES DE GÁS COMBUSTÍVEL</v>
          </cell>
        </row>
        <row r="39">
          <cell r="F39" t="str">
            <v>24. SERVIÇOS COMPLEMENTARES</v>
          </cell>
        </row>
        <row r="40">
          <cell r="F40" t="str">
            <v>25. FECHAMENTO - MURO</v>
          </cell>
        </row>
        <row r="41">
          <cell r="F41" t="str">
            <v>26. SERVIÇOS FINAIS</v>
          </cell>
        </row>
        <row r="42">
          <cell r="F42" t="str">
            <v/>
          </cell>
        </row>
        <row r="43">
          <cell r="F43" t="str">
            <v/>
          </cell>
        </row>
        <row r="44">
          <cell r="F44" t="str">
            <v/>
          </cell>
        </row>
        <row r="45">
          <cell r="F45" t="str">
            <v/>
          </cell>
        </row>
        <row r="46">
          <cell r="F46" t="str">
            <v/>
          </cell>
        </row>
        <row r="47">
          <cell r="F47" t="str">
            <v/>
          </cell>
        </row>
        <row r="48">
          <cell r="F48" t="str">
            <v/>
          </cell>
        </row>
        <row r="49">
          <cell r="F49" t="str">
            <v/>
          </cell>
        </row>
        <row r="50">
          <cell r="F50" t="str">
            <v/>
          </cell>
        </row>
        <row r="51">
          <cell r="F51" t="str">
            <v/>
          </cell>
        </row>
        <row r="52">
          <cell r="F52" t="str">
            <v/>
          </cell>
        </row>
        <row r="53">
          <cell r="F53" t="str">
            <v/>
          </cell>
        </row>
        <row r="54">
          <cell r="F54" t="str">
            <v/>
          </cell>
        </row>
        <row r="55">
          <cell r="F55" t="str">
            <v/>
          </cell>
        </row>
        <row r="56">
          <cell r="F56" t="str">
            <v/>
          </cell>
        </row>
        <row r="57">
          <cell r="F57" t="str">
            <v/>
          </cell>
        </row>
        <row r="58">
          <cell r="F58" t="str">
            <v/>
          </cell>
        </row>
        <row r="59">
          <cell r="F59" t="str">
            <v/>
          </cell>
        </row>
        <row r="60">
          <cell r="F60" t="str">
            <v/>
          </cell>
        </row>
        <row r="61">
          <cell r="F61" t="str">
            <v/>
          </cell>
        </row>
        <row r="62">
          <cell r="F62" t="str">
            <v/>
          </cell>
        </row>
        <row r="63">
          <cell r="F63" t="str">
            <v/>
          </cell>
        </row>
        <row r="64">
          <cell r="F64" t="str">
            <v/>
          </cell>
        </row>
      </sheetData>
      <sheetData sheetId="8">
        <row r="9">
          <cell r="A9">
            <v>2</v>
          </cell>
        </row>
        <row r="10">
          <cell r="A10">
            <v>3</v>
          </cell>
          <cell r="H10">
            <v>2</v>
          </cell>
        </row>
        <row r="11">
          <cell r="A11">
            <v>4</v>
          </cell>
        </row>
        <row r="14">
          <cell r="A14" t="str">
            <v/>
          </cell>
        </row>
        <row r="17">
          <cell r="A17" t="str">
            <v>1.1. ADMINISTRAÇÃO LOCAL</v>
          </cell>
        </row>
        <row r="20">
          <cell r="A20" t="str">
            <v>1.2. SERVIÇOS PRELIMINARES</v>
          </cell>
        </row>
        <row r="23">
          <cell r="A23" t="str">
            <v>1.3. MOVIMENTO DE TERRA PARA FUNDAÇÕES</v>
          </cell>
        </row>
        <row r="26">
          <cell r="A26" t="str">
            <v>1.4. FUNDAÇÕES</v>
          </cell>
        </row>
        <row r="29">
          <cell r="A29" t="str">
            <v>1.5. SUPERESTRUTURA</v>
          </cell>
        </row>
        <row r="32">
          <cell r="A32" t="str">
            <v>1.6. SISTEMA DE VEDAÇÃO VERTICAL</v>
          </cell>
        </row>
        <row r="35">
          <cell r="A35" t="str">
            <v>1.7. ESQUADRIAS</v>
          </cell>
        </row>
        <row r="38">
          <cell r="A38" t="str">
            <v>1.8. SISTEMAS DE COBERTURA</v>
          </cell>
        </row>
        <row r="41">
          <cell r="A41" t="str">
            <v>1.9. IMPERMEABILIZAÇÃO</v>
          </cell>
        </row>
        <row r="44">
          <cell r="A44" t="str">
            <v>1.10. REVESTIMENTOS INTERNO E EXTERNO</v>
          </cell>
        </row>
        <row r="47">
          <cell r="A47" t="str">
            <v>1.11. SISTEMAS DE PISOS</v>
          </cell>
        </row>
        <row r="50">
          <cell r="A50" t="str">
            <v>1.12. PINTURAS E ACABAMENTOS</v>
          </cell>
        </row>
        <row r="53">
          <cell r="A53" t="str">
            <v>1.13. INSTALAÇÕES DE ÁGUA FRIA</v>
          </cell>
        </row>
        <row r="56">
          <cell r="A56" t="str">
            <v>1.14. INSTALAÇÕES DE ÁGUAS PLUVIAIS</v>
          </cell>
        </row>
        <row r="59">
          <cell r="A59" t="str">
            <v>1.15. INSTALAÇÕES DE ESGOTO SANITÁRIO</v>
          </cell>
        </row>
        <row r="62">
          <cell r="A62" t="str">
            <v>1.16. LOUÇAS, ACESSÓRIOS E METAIS</v>
          </cell>
        </row>
        <row r="65">
          <cell r="A65" t="str">
            <v>1.17. INSTALAÇÕES DE PROTEÇÃO CONTRA INCÊNDIO</v>
          </cell>
        </row>
        <row r="68">
          <cell r="A68" t="str">
            <v>1.18. INSTALAÇÕES ELÉTRICAS - 220V</v>
          </cell>
        </row>
        <row r="71">
          <cell r="A71" t="str">
            <v>1.19. INSTALAÇÕES DE CABEAMENTO ESTRUTURADO</v>
          </cell>
        </row>
        <row r="74">
          <cell r="A74" t="str">
            <v>1.20. INSTALAÇÕES DO SISTEMA DE PROTEÇÃO CONTRA DESCARGAS ATMOSFÉRICAS (SPDA)</v>
          </cell>
        </row>
        <row r="77">
          <cell r="A77" t="str">
            <v>1.21. INSTALAÇÕES DE CLIMATIZAÇÃO</v>
          </cell>
        </row>
        <row r="80">
          <cell r="A80" t="str">
            <v>1.22. INSTALAÇÕES DE EXAUSTÃO MECÂNICA</v>
          </cell>
        </row>
        <row r="83">
          <cell r="A83" t="str">
            <v>1.23. INSTALAÇÕES DE GÁS COMBUSTÍVEL</v>
          </cell>
        </row>
        <row r="86">
          <cell r="A86" t="str">
            <v>1.24. SERVIÇOS COMPLEMENTARES</v>
          </cell>
        </row>
        <row r="89">
          <cell r="A89" t="str">
            <v>1.25. FECHAMENTO - MURO</v>
          </cell>
        </row>
        <row r="92">
          <cell r="A92" t="str">
            <v>1.26. SERVIÇOS FINAIS</v>
          </cell>
        </row>
        <row r="95">
          <cell r="A95" t="str">
            <v/>
          </cell>
        </row>
        <row r="98">
          <cell r="A98" t="str">
            <v/>
          </cell>
        </row>
        <row r="101">
          <cell r="A101" t="str">
            <v/>
          </cell>
        </row>
        <row r="104">
          <cell r="A104" t="str">
            <v/>
          </cell>
        </row>
        <row r="107">
          <cell r="A107" t="str">
            <v/>
          </cell>
        </row>
        <row r="110">
          <cell r="A110" t="str">
            <v/>
          </cell>
        </row>
        <row r="113">
          <cell r="A113" t="str">
            <v/>
          </cell>
        </row>
        <row r="116">
          <cell r="A116" t="str">
            <v/>
          </cell>
        </row>
        <row r="119">
          <cell r="A119" t="str">
            <v/>
          </cell>
        </row>
        <row r="122">
          <cell r="A122" t="str">
            <v/>
          </cell>
        </row>
        <row r="125">
          <cell r="A125" t="str">
            <v/>
          </cell>
        </row>
        <row r="128">
          <cell r="A128" t="str">
            <v/>
          </cell>
        </row>
        <row r="131">
          <cell r="A131" t="str">
            <v/>
          </cell>
        </row>
        <row r="134">
          <cell r="A134" t="str">
            <v/>
          </cell>
        </row>
        <row r="137">
          <cell r="A137" t="str">
            <v/>
          </cell>
        </row>
        <row r="140">
          <cell r="A140" t="str">
            <v/>
          </cell>
        </row>
        <row r="143">
          <cell r="A143" t="str">
            <v/>
          </cell>
        </row>
        <row r="146">
          <cell r="A146" t="str">
            <v/>
          </cell>
        </row>
        <row r="149">
          <cell r="A149" t="str">
            <v/>
          </cell>
        </row>
        <row r="152">
          <cell r="A152" t="str">
            <v/>
          </cell>
        </row>
        <row r="155">
          <cell r="A155" t="str">
            <v/>
          </cell>
        </row>
        <row r="158">
          <cell r="A158" t="str">
            <v/>
          </cell>
        </row>
        <row r="161">
          <cell r="A161" t="str">
            <v/>
          </cell>
        </row>
        <row r="164">
          <cell r="A164" t="str">
            <v/>
          </cell>
        </row>
        <row r="167">
          <cell r="A167" t="str">
            <v/>
          </cell>
        </row>
        <row r="170">
          <cell r="A170" t="str">
            <v/>
          </cell>
        </row>
        <row r="173">
          <cell r="A173" t="str">
            <v/>
          </cell>
        </row>
        <row r="176">
          <cell r="A176" t="str">
            <v/>
          </cell>
        </row>
        <row r="179">
          <cell r="A179" t="str">
            <v/>
          </cell>
        </row>
        <row r="182">
          <cell r="A182" t="str">
            <v/>
          </cell>
        </row>
        <row r="185">
          <cell r="A185" t="str">
            <v/>
          </cell>
        </row>
        <row r="188">
          <cell r="A188" t="str">
            <v/>
          </cell>
        </row>
        <row r="191">
          <cell r="A191" t="str">
            <v/>
          </cell>
        </row>
        <row r="194">
          <cell r="A194" t="str">
            <v/>
          </cell>
        </row>
        <row r="197">
          <cell r="A197" t="str">
            <v/>
          </cell>
        </row>
        <row r="200">
          <cell r="A200" t="str">
            <v/>
          </cell>
        </row>
        <row r="203">
          <cell r="A203" t="str">
            <v/>
          </cell>
        </row>
        <row r="206">
          <cell r="A206" t="str">
            <v/>
          </cell>
        </row>
        <row r="209">
          <cell r="A209" t="str">
            <v/>
          </cell>
        </row>
        <row r="212">
          <cell r="A212" t="str">
            <v/>
          </cell>
        </row>
        <row r="215">
          <cell r="A215" t="str">
            <v/>
          </cell>
        </row>
        <row r="218">
          <cell r="A218" t="str">
            <v/>
          </cell>
        </row>
        <row r="221">
          <cell r="A221" t="str">
            <v/>
          </cell>
        </row>
        <row r="224">
          <cell r="A224" t="str">
            <v/>
          </cell>
        </row>
        <row r="227">
          <cell r="A227" t="str">
            <v/>
          </cell>
        </row>
        <row r="230">
          <cell r="A230" t="str">
            <v/>
          </cell>
        </row>
        <row r="233">
          <cell r="A233" t="str">
            <v/>
          </cell>
        </row>
        <row r="236">
          <cell r="A236" t="str">
            <v/>
          </cell>
        </row>
        <row r="239">
          <cell r="A239" t="str">
            <v/>
          </cell>
        </row>
        <row r="242">
          <cell r="A242" t="str">
            <v/>
          </cell>
        </row>
        <row r="245">
          <cell r="A245" t="str">
            <v/>
          </cell>
        </row>
        <row r="248">
          <cell r="A248" t="str">
            <v/>
          </cell>
        </row>
        <row r="251">
          <cell r="A251" t="str">
            <v/>
          </cell>
        </row>
        <row r="254">
          <cell r="A254" t="str">
            <v/>
          </cell>
        </row>
        <row r="257">
          <cell r="A257" t="str">
            <v/>
          </cell>
        </row>
        <row r="260">
          <cell r="A260" t="str">
            <v/>
          </cell>
        </row>
        <row r="263">
          <cell r="A263" t="str">
            <v/>
          </cell>
        </row>
        <row r="266">
          <cell r="A266" t="str">
            <v/>
          </cell>
        </row>
        <row r="269">
          <cell r="A269" t="str">
            <v/>
          </cell>
        </row>
        <row r="272">
          <cell r="A272" t="str">
            <v/>
          </cell>
        </row>
        <row r="275">
          <cell r="A275" t="str">
            <v/>
          </cell>
        </row>
        <row r="278">
          <cell r="A278" t="str">
            <v/>
          </cell>
        </row>
        <row r="281">
          <cell r="A281" t="str">
            <v/>
          </cell>
        </row>
        <row r="284">
          <cell r="A284" t="str">
            <v/>
          </cell>
        </row>
        <row r="287">
          <cell r="A287" t="str">
            <v/>
          </cell>
        </row>
        <row r="290">
          <cell r="A290" t="str">
            <v/>
          </cell>
        </row>
        <row r="293">
          <cell r="A293" t="str">
            <v/>
          </cell>
        </row>
        <row r="296">
          <cell r="A296" t="str">
            <v/>
          </cell>
        </row>
        <row r="305">
          <cell r="U305">
            <v>0.1003</v>
          </cell>
          <cell r="V305">
            <v>0.2046</v>
          </cell>
          <cell r="W305">
            <v>0.27629999999999999</v>
          </cell>
          <cell r="X305">
            <v>0.3493</v>
          </cell>
          <cell r="Y305">
            <v>0.45440000000000003</v>
          </cell>
          <cell r="Z305">
            <v>0.55830000000000002</v>
          </cell>
          <cell r="AA305">
            <v>0.66579999999999995</v>
          </cell>
          <cell r="AB305">
            <v>0.75109999999999999</v>
          </cell>
          <cell r="AC305">
            <v>0.81440000000000001</v>
          </cell>
          <cell r="AD305">
            <v>0.86709999999999998</v>
          </cell>
          <cell r="AE305">
            <v>0.92589999999999995</v>
          </cell>
          <cell r="AF305">
            <v>1</v>
          </cell>
        </row>
        <row r="310">
          <cell r="H310" t="str">
            <v>1.1. ADMINISTRAÇÃO LOCAL</v>
          </cell>
        </row>
      </sheetData>
      <sheetData sheetId="9">
        <row r="2">
          <cell r="A2" t="str">
            <v>Sem Projeto</v>
          </cell>
        </row>
        <row r="3">
          <cell r="A3" t="str">
            <v>Em Análise</v>
          </cell>
        </row>
        <row r="4">
          <cell r="A4" t="str">
            <v>Análise Concluída / A Licitar</v>
          </cell>
        </row>
        <row r="5">
          <cell r="A5" t="str">
            <v>Licitado / Em Execução</v>
          </cell>
        </row>
        <row r="6">
          <cell r="A6" t="str">
            <v>Concluído</v>
          </cell>
        </row>
        <row r="8">
          <cell r="A8" t="str">
            <v>Proporcional</v>
          </cell>
        </row>
        <row r="9">
          <cell r="A9" t="str">
            <v>Calculado</v>
          </cell>
        </row>
        <row r="13">
          <cell r="B13" t="str">
            <v>Busca</v>
          </cell>
          <cell r="E13" t="str">
            <v>Item de Investimento</v>
          </cell>
          <cell r="F13" t="str">
            <v>Subitem de Investimento</v>
          </cell>
          <cell r="H13" t="str">
            <v>Situação</v>
          </cell>
          <cell r="I13" t="str">
            <v>Quantidade</v>
          </cell>
          <cell r="O13" t="str">
            <v>Investimento (R$)</v>
          </cell>
          <cell r="R13" t="str">
            <v>Descrição da Meta</v>
          </cell>
          <cell r="T13" t="str">
            <v>Lote de Licitação / nº do CTEF</v>
          </cell>
          <cell r="U13" t="str">
            <v>Investimento (R$)</v>
          </cell>
          <cell r="V13" t="str">
            <v>Divisão do Investimento</v>
          </cell>
          <cell r="W13" t="str">
            <v>Contrapartida Financeira (R$)</v>
          </cell>
          <cell r="X13" t="str">
            <v>Outros (R$)</v>
          </cell>
        </row>
        <row r="14">
          <cell r="B14" t="str">
            <v>Automático</v>
          </cell>
          <cell r="O14">
            <v>4324820.12</v>
          </cell>
          <cell r="AA14">
            <v>724881.59000000043</v>
          </cell>
          <cell r="AB14">
            <v>0</v>
          </cell>
        </row>
        <row r="15">
          <cell r="B15" t="str">
            <v>Branco</v>
          </cell>
          <cell r="O15">
            <v>0</v>
          </cell>
          <cell r="AA15">
            <v>0</v>
          </cell>
          <cell r="AB15">
            <v>0</v>
          </cell>
        </row>
        <row r="16">
          <cell r="B16" t="str">
            <v>Branco</v>
          </cell>
          <cell r="O16">
            <v>0</v>
          </cell>
          <cell r="AA16">
            <v>0</v>
          </cell>
          <cell r="AB16">
            <v>0</v>
          </cell>
        </row>
        <row r="17">
          <cell r="B17" t="str">
            <v>Branco</v>
          </cell>
          <cell r="O17">
            <v>0</v>
          </cell>
          <cell r="AA17">
            <v>0</v>
          </cell>
          <cell r="AB17">
            <v>0</v>
          </cell>
        </row>
        <row r="18">
          <cell r="B18" t="str">
            <v>Branco</v>
          </cell>
          <cell r="O18">
            <v>0</v>
          </cell>
          <cell r="AA18">
            <v>0</v>
          </cell>
          <cell r="AB18">
            <v>0</v>
          </cell>
        </row>
        <row r="19">
          <cell r="B19" t="str">
            <v>Branco</v>
          </cell>
          <cell r="O19">
            <v>0</v>
          </cell>
          <cell r="AA19">
            <v>0</v>
          </cell>
          <cell r="AB19">
            <v>0</v>
          </cell>
        </row>
        <row r="20">
          <cell r="B20" t="str">
            <v>Branco</v>
          </cell>
          <cell r="O20">
            <v>0</v>
          </cell>
          <cell r="AA20">
            <v>0</v>
          </cell>
          <cell r="AB20">
            <v>0</v>
          </cell>
        </row>
        <row r="21">
          <cell r="B21" t="str">
            <v>Branco</v>
          </cell>
          <cell r="O21">
            <v>0</v>
          </cell>
          <cell r="AA21">
            <v>0</v>
          </cell>
          <cell r="AB21">
            <v>0</v>
          </cell>
        </row>
        <row r="22">
          <cell r="B22" t="str">
            <v>Branco</v>
          </cell>
          <cell r="O22">
            <v>0</v>
          </cell>
          <cell r="AA22">
            <v>0</v>
          </cell>
          <cell r="AB22">
            <v>0</v>
          </cell>
        </row>
        <row r="23">
          <cell r="B23" t="str">
            <v>Branco</v>
          </cell>
          <cell r="O23">
            <v>0</v>
          </cell>
          <cell r="AA23">
            <v>0</v>
          </cell>
          <cell r="AB23">
            <v>0</v>
          </cell>
        </row>
        <row r="24">
          <cell r="B24" t="str">
            <v>TR$</v>
          </cell>
          <cell r="O24">
            <v>4324820.12</v>
          </cell>
          <cell r="AA24">
            <v>724881.59</v>
          </cell>
          <cell r="AB24">
            <v>0</v>
          </cell>
        </row>
      </sheetData>
      <sheetData sheetId="10">
        <row r="9">
          <cell r="J9">
            <v>1</v>
          </cell>
        </row>
        <row r="15">
          <cell r="A15" t="str">
            <v/>
          </cell>
          <cell r="B15">
            <v>0</v>
          </cell>
          <cell r="C15" t="str">
            <v/>
          </cell>
          <cell r="H15" t="str">
            <v>Para aplicação de Adm. Local é necessário definir os eventos manualmente.</v>
          </cell>
        </row>
        <row r="65">
          <cell r="A65" t="str">
            <v>F</v>
          </cell>
        </row>
      </sheetData>
      <sheetData sheetId="11">
        <row r="3">
          <cell r="A3" t="b">
            <v>0</v>
          </cell>
        </row>
        <row r="7">
          <cell r="O7" t="str">
            <v>Nº MEDIÇÃO</v>
          </cell>
        </row>
        <row r="9">
          <cell r="A9" t="b">
            <v>1</v>
          </cell>
        </row>
        <row r="13">
          <cell r="AB13">
            <v>1</v>
          </cell>
          <cell r="AC13">
            <v>2</v>
          </cell>
          <cell r="AD13">
            <v>3</v>
          </cell>
          <cell r="AE13">
            <v>4</v>
          </cell>
          <cell r="AF13">
            <v>5</v>
          </cell>
          <cell r="AG13">
            <v>6</v>
          </cell>
          <cell r="AH13">
            <v>7</v>
          </cell>
          <cell r="AI13">
            <v>8</v>
          </cell>
          <cell r="AJ13">
            <v>9</v>
          </cell>
          <cell r="AK13">
            <v>10</v>
          </cell>
          <cell r="AL13">
            <v>11</v>
          </cell>
          <cell r="AM13">
            <v>12</v>
          </cell>
        </row>
      </sheetData>
      <sheetData sheetId="12">
        <row r="7">
          <cell r="O7">
            <v>4324820.12</v>
          </cell>
        </row>
        <row r="26">
          <cell r="AC26">
            <v>0</v>
          </cell>
          <cell r="AD26">
            <v>0</v>
          </cell>
        </row>
        <row r="27">
          <cell r="AC27">
            <v>0</v>
          </cell>
          <cell r="AD27">
            <v>0</v>
          </cell>
        </row>
      </sheetData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DCC06-E731-43B7-AD51-15CA617C0A27}">
  <sheetPr codeName="Planilha3"/>
  <dimension ref="A1:Q636"/>
  <sheetViews>
    <sheetView tabSelected="1" workbookViewId="0">
      <pane ySplit="1" topLeftCell="A2" activePane="bottomLeft" state="frozen"/>
      <selection activeCell="K1" sqref="K1"/>
      <selection pane="bottomLeft"/>
    </sheetView>
  </sheetViews>
  <sheetFormatPr defaultColWidth="9.140625" defaultRowHeight="15" x14ac:dyDescent="0.25"/>
  <cols>
    <col min="1" max="1" width="15" style="3" customWidth="1"/>
    <col min="2" max="2" width="25" style="3" customWidth="1"/>
    <col min="3" max="3" width="12" style="3" customWidth="1"/>
    <col min="4" max="4" width="15.5703125" style="12" customWidth="1"/>
    <col min="5" max="5" width="70" style="3" customWidth="1"/>
    <col min="6" max="6" width="20" style="3" customWidth="1"/>
    <col min="7" max="7" width="10" style="3" customWidth="1"/>
    <col min="8" max="8" width="25" style="3" customWidth="1"/>
    <col min="9" max="9" width="15" style="3" customWidth="1"/>
    <col min="10" max="10" width="13" style="3" customWidth="1"/>
    <col min="11" max="12" width="35" style="3" customWidth="1"/>
    <col min="13" max="14" width="20" style="3" customWidth="1"/>
    <col min="15" max="15" width="50" style="3" customWidth="1"/>
    <col min="16" max="16" width="15" style="3" customWidth="1"/>
    <col min="17" max="17" width="17.5703125" style="3" customWidth="1"/>
    <col min="18" max="16384" width="9.140625" style="3"/>
  </cols>
  <sheetData>
    <row r="1" spans="1:17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ht="45" customHeight="1" x14ac:dyDescent="0.25">
      <c r="A2" s="4" t="s">
        <v>17</v>
      </c>
      <c r="B2" s="5" t="s">
        <v>18</v>
      </c>
      <c r="C2" s="4"/>
      <c r="D2" s="4"/>
      <c r="E2" s="4" t="s">
        <v>19</v>
      </c>
      <c r="F2" s="6"/>
      <c r="G2" s="4"/>
      <c r="H2" s="7"/>
      <c r="I2" s="7"/>
      <c r="J2" s="8"/>
      <c r="K2" s="9"/>
      <c r="L2" s="9">
        <f>569618.55</f>
        <v>569618.55000000005</v>
      </c>
      <c r="M2" s="4"/>
      <c r="N2" s="10"/>
      <c r="O2" s="4"/>
      <c r="P2" s="11"/>
      <c r="Q2" s="9"/>
    </row>
    <row r="3" spans="1:17" ht="45" customHeight="1" x14ac:dyDescent="0.25">
      <c r="A3" s="4" t="s">
        <v>20</v>
      </c>
      <c r="B3" s="5" t="s">
        <v>21</v>
      </c>
      <c r="C3" s="4" t="s">
        <v>22</v>
      </c>
      <c r="D3" s="4" t="s">
        <v>23</v>
      </c>
      <c r="E3" s="4" t="s">
        <v>24</v>
      </c>
      <c r="F3" s="6">
        <f>1</f>
        <v>1</v>
      </c>
      <c r="G3" s="4" t="s">
        <v>25</v>
      </c>
      <c r="H3" s="7">
        <v>455694.84</v>
      </c>
      <c r="I3" s="7">
        <v>455694.84</v>
      </c>
      <c r="J3" s="8">
        <v>0.25</v>
      </c>
      <c r="K3" s="9">
        <f>569618.55</f>
        <v>569618.55000000005</v>
      </c>
      <c r="L3" s="9">
        <f>569618.55</f>
        <v>569618.55000000005</v>
      </c>
      <c r="M3" s="4"/>
      <c r="N3" s="10">
        <v>1</v>
      </c>
      <c r="O3" s="4" t="s">
        <v>26</v>
      </c>
      <c r="P3" s="11">
        <v>1</v>
      </c>
      <c r="Q3" s="9">
        <f>569618.55</f>
        <v>569618.55000000005</v>
      </c>
    </row>
    <row r="4" spans="1:17" ht="45" customHeight="1" x14ac:dyDescent="0.25">
      <c r="A4" s="4" t="s">
        <v>17</v>
      </c>
      <c r="B4" s="5" t="s">
        <v>27</v>
      </c>
      <c r="C4" s="4"/>
      <c r="D4" s="4"/>
      <c r="E4" s="4" t="s">
        <v>28</v>
      </c>
      <c r="F4" s="6"/>
      <c r="G4" s="4"/>
      <c r="H4" s="7"/>
      <c r="I4" s="7"/>
      <c r="J4" s="8"/>
      <c r="K4" s="9"/>
      <c r="L4" s="9">
        <f>107427.3</f>
        <v>107427.3</v>
      </c>
      <c r="M4" s="4"/>
      <c r="N4" s="10"/>
      <c r="O4" s="4"/>
      <c r="P4" s="11"/>
      <c r="Q4" s="9"/>
    </row>
    <row r="5" spans="1:17" ht="45" customHeight="1" x14ac:dyDescent="0.25">
      <c r="A5" s="4" t="s">
        <v>20</v>
      </c>
      <c r="B5" s="5" t="s">
        <v>29</v>
      </c>
      <c r="C5" s="4" t="s">
        <v>30</v>
      </c>
      <c r="D5" s="4" t="s">
        <v>31</v>
      </c>
      <c r="E5" s="4" t="s">
        <v>32</v>
      </c>
      <c r="F5" s="6">
        <f>6.48</f>
        <v>6.48</v>
      </c>
      <c r="G5" s="4" t="s">
        <v>33</v>
      </c>
      <c r="H5" s="7">
        <v>462.96</v>
      </c>
      <c r="I5" s="7">
        <v>462.96</v>
      </c>
      <c r="J5" s="8">
        <v>0.25</v>
      </c>
      <c r="K5" s="9">
        <f>578.7</f>
        <v>578.70000000000005</v>
      </c>
      <c r="L5" s="9">
        <f>3749.98</f>
        <v>3749.98</v>
      </c>
      <c r="M5" s="4"/>
      <c r="N5" s="10">
        <v>1</v>
      </c>
      <c r="O5" s="4" t="s">
        <v>26</v>
      </c>
      <c r="P5" s="11">
        <v>6.48</v>
      </c>
      <c r="Q5" s="9">
        <f>3749.98</f>
        <v>3749.98</v>
      </c>
    </row>
    <row r="6" spans="1:17" ht="45" customHeight="1" x14ac:dyDescent="0.25">
      <c r="A6" s="4" t="s">
        <v>20</v>
      </c>
      <c r="B6" s="5" t="s">
        <v>34</v>
      </c>
      <c r="C6" s="4" t="s">
        <v>30</v>
      </c>
      <c r="D6" s="4" t="s">
        <v>35</v>
      </c>
      <c r="E6" s="4" t="s">
        <v>36</v>
      </c>
      <c r="F6" s="6">
        <f>391.6</f>
        <v>391.6</v>
      </c>
      <c r="G6" s="4" t="s">
        <v>33</v>
      </c>
      <c r="H6" s="7">
        <v>82.25</v>
      </c>
      <c r="I6" s="7">
        <v>82.25</v>
      </c>
      <c r="J6" s="8">
        <v>0.25</v>
      </c>
      <c r="K6" s="9">
        <f>102.81</f>
        <v>102.81</v>
      </c>
      <c r="L6" s="9">
        <f>40260.4</f>
        <v>40260.400000000001</v>
      </c>
      <c r="M6" s="4"/>
      <c r="N6" s="10">
        <v>1</v>
      </c>
      <c r="O6" s="4" t="s">
        <v>26</v>
      </c>
      <c r="P6" s="11">
        <v>391.6</v>
      </c>
      <c r="Q6" s="9">
        <f>40260.4</f>
        <v>40260.400000000001</v>
      </c>
    </row>
    <row r="7" spans="1:17" ht="45" customHeight="1" x14ac:dyDescent="0.25">
      <c r="A7" s="4" t="s">
        <v>20</v>
      </c>
      <c r="B7" s="5" t="s">
        <v>37</v>
      </c>
      <c r="C7" s="4" t="s">
        <v>30</v>
      </c>
      <c r="D7" s="4" t="s">
        <v>38</v>
      </c>
      <c r="E7" s="4" t="s">
        <v>39</v>
      </c>
      <c r="F7" s="6">
        <f>1</f>
        <v>1</v>
      </c>
      <c r="G7" s="4" t="s">
        <v>25</v>
      </c>
      <c r="H7" s="7">
        <v>2085.02</v>
      </c>
      <c r="I7" s="7">
        <v>2085.02</v>
      </c>
      <c r="J7" s="8">
        <v>0.25</v>
      </c>
      <c r="K7" s="9">
        <f>2606.28</f>
        <v>2606.2800000000002</v>
      </c>
      <c r="L7" s="9">
        <f>2606.28</f>
        <v>2606.2800000000002</v>
      </c>
      <c r="M7" s="4"/>
      <c r="N7" s="10">
        <v>1</v>
      </c>
      <c r="O7" s="4" t="s">
        <v>26</v>
      </c>
      <c r="P7" s="11">
        <v>1</v>
      </c>
      <c r="Q7" s="9">
        <f>2606.28</f>
        <v>2606.2800000000002</v>
      </c>
    </row>
    <row r="8" spans="1:17" ht="45" customHeight="1" x14ac:dyDescent="0.25">
      <c r="A8" s="4" t="s">
        <v>20</v>
      </c>
      <c r="B8" s="5" t="s">
        <v>40</v>
      </c>
      <c r="C8" s="4" t="s">
        <v>22</v>
      </c>
      <c r="D8" s="4" t="s">
        <v>41</v>
      </c>
      <c r="E8" s="4" t="s">
        <v>42</v>
      </c>
      <c r="F8" s="6">
        <f>1</f>
        <v>1</v>
      </c>
      <c r="G8" s="4" t="s">
        <v>25</v>
      </c>
      <c r="H8" s="7">
        <v>2998.43</v>
      </c>
      <c r="I8" s="7">
        <v>2998.43</v>
      </c>
      <c r="J8" s="8">
        <v>0.25</v>
      </c>
      <c r="K8" s="9">
        <f>3748.04</f>
        <v>3748.04</v>
      </c>
      <c r="L8" s="9">
        <f>3748.04</f>
        <v>3748.04</v>
      </c>
      <c r="M8" s="4"/>
      <c r="N8" s="10">
        <v>1</v>
      </c>
      <c r="O8" s="4" t="s">
        <v>26</v>
      </c>
      <c r="P8" s="11">
        <v>1</v>
      </c>
      <c r="Q8" s="9">
        <f>3748.04</f>
        <v>3748.04</v>
      </c>
    </row>
    <row r="9" spans="1:17" ht="45" customHeight="1" x14ac:dyDescent="0.25">
      <c r="A9" s="4" t="s">
        <v>20</v>
      </c>
      <c r="B9" s="5" t="s">
        <v>43</v>
      </c>
      <c r="C9" s="4" t="s">
        <v>30</v>
      </c>
      <c r="D9" s="4" t="s">
        <v>44</v>
      </c>
      <c r="E9" s="4" t="s">
        <v>45</v>
      </c>
      <c r="F9" s="6">
        <f>220</f>
        <v>220</v>
      </c>
      <c r="G9" s="4" t="s">
        <v>46</v>
      </c>
      <c r="H9" s="7">
        <v>65.13</v>
      </c>
      <c r="I9" s="7">
        <v>65.13</v>
      </c>
      <c r="J9" s="8">
        <v>0.25</v>
      </c>
      <c r="K9" s="9">
        <f>81.41</f>
        <v>81.41</v>
      </c>
      <c r="L9" s="9">
        <f>17910.2</f>
        <v>17910.2</v>
      </c>
      <c r="M9" s="4"/>
      <c r="N9" s="10">
        <v>1</v>
      </c>
      <c r="O9" s="4" t="s">
        <v>26</v>
      </c>
      <c r="P9" s="11">
        <v>220</v>
      </c>
      <c r="Q9" s="9">
        <f>17910.2</f>
        <v>17910.2</v>
      </c>
    </row>
    <row r="10" spans="1:17" ht="45" customHeight="1" x14ac:dyDescent="0.25">
      <c r="A10" s="4" t="s">
        <v>20</v>
      </c>
      <c r="B10" s="5" t="s">
        <v>47</v>
      </c>
      <c r="C10" s="4" t="s">
        <v>22</v>
      </c>
      <c r="D10" s="4" t="s">
        <v>48</v>
      </c>
      <c r="E10" s="4" t="s">
        <v>49</v>
      </c>
      <c r="F10" s="6">
        <f>8</f>
        <v>8</v>
      </c>
      <c r="G10" s="4" t="s">
        <v>50</v>
      </c>
      <c r="H10" s="7">
        <v>1293.6300000000001</v>
      </c>
      <c r="I10" s="7">
        <v>1293.6199999999999</v>
      </c>
      <c r="J10" s="8">
        <v>0.25</v>
      </c>
      <c r="K10" s="9">
        <f>1617.03</f>
        <v>1617.03</v>
      </c>
      <c r="L10" s="9">
        <f>12936.24</f>
        <v>12936.24</v>
      </c>
      <c r="M10" s="4"/>
      <c r="N10" s="10">
        <v>1</v>
      </c>
      <c r="O10" s="4" t="s">
        <v>26</v>
      </c>
      <c r="P10" s="11">
        <v>8</v>
      </c>
      <c r="Q10" s="9">
        <f>12936.24</f>
        <v>12936.24</v>
      </c>
    </row>
    <row r="11" spans="1:17" ht="45" customHeight="1" x14ac:dyDescent="0.25">
      <c r="A11" s="4" t="s">
        <v>20</v>
      </c>
      <c r="B11" s="5" t="s">
        <v>51</v>
      </c>
      <c r="C11" s="4" t="s">
        <v>22</v>
      </c>
      <c r="D11" s="4" t="s">
        <v>52</v>
      </c>
      <c r="E11" s="4" t="s">
        <v>53</v>
      </c>
      <c r="F11" s="6">
        <f>8</f>
        <v>8</v>
      </c>
      <c r="G11" s="4" t="s">
        <v>50</v>
      </c>
      <c r="H11" s="7">
        <v>1053</v>
      </c>
      <c r="I11" s="7">
        <v>1052.99</v>
      </c>
      <c r="J11" s="8">
        <v>0.25</v>
      </c>
      <c r="K11" s="9">
        <f>1316.24</f>
        <v>1316.24</v>
      </c>
      <c r="L11" s="9">
        <f>10529.92</f>
        <v>10529.92</v>
      </c>
      <c r="M11" s="4"/>
      <c r="N11" s="10">
        <v>1</v>
      </c>
      <c r="O11" s="4" t="s">
        <v>26</v>
      </c>
      <c r="P11" s="11">
        <v>8</v>
      </c>
      <c r="Q11" s="9">
        <f>10529.92</f>
        <v>10529.92</v>
      </c>
    </row>
    <row r="12" spans="1:17" ht="45" customHeight="1" x14ac:dyDescent="0.25">
      <c r="A12" s="4" t="s">
        <v>20</v>
      </c>
      <c r="B12" s="5" t="s">
        <v>54</v>
      </c>
      <c r="C12" s="4" t="s">
        <v>22</v>
      </c>
      <c r="D12" s="4" t="s">
        <v>55</v>
      </c>
      <c r="E12" s="4" t="s">
        <v>56</v>
      </c>
      <c r="F12" s="6">
        <f>8</f>
        <v>8</v>
      </c>
      <c r="G12" s="4" t="s">
        <v>50</v>
      </c>
      <c r="H12" s="7">
        <v>1568.63</v>
      </c>
      <c r="I12" s="7">
        <v>1568.62</v>
      </c>
      <c r="J12" s="8">
        <v>0.25</v>
      </c>
      <c r="K12" s="9">
        <f>1960.78</f>
        <v>1960.78</v>
      </c>
      <c r="L12" s="9">
        <f>15686.24</f>
        <v>15686.24</v>
      </c>
      <c r="M12" s="4"/>
      <c r="N12" s="10">
        <v>1</v>
      </c>
      <c r="O12" s="4" t="s">
        <v>26</v>
      </c>
      <c r="P12" s="11">
        <v>8</v>
      </c>
      <c r="Q12" s="9">
        <f>15686.24</f>
        <v>15686.24</v>
      </c>
    </row>
    <row r="13" spans="1:17" ht="45" customHeight="1" x14ac:dyDescent="0.25">
      <c r="A13" s="4" t="s">
        <v>17</v>
      </c>
      <c r="B13" s="5" t="s">
        <v>57</v>
      </c>
      <c r="C13" s="4"/>
      <c r="D13" s="4"/>
      <c r="E13" s="4" t="s">
        <v>58</v>
      </c>
      <c r="F13" s="6"/>
      <c r="G13" s="4"/>
      <c r="H13" s="7"/>
      <c r="I13" s="7"/>
      <c r="J13" s="8"/>
      <c r="K13" s="9"/>
      <c r="L13" s="9">
        <f>112497.9</f>
        <v>112497.9</v>
      </c>
      <c r="M13" s="4"/>
      <c r="N13" s="10"/>
      <c r="O13" s="4"/>
      <c r="P13" s="11"/>
      <c r="Q13" s="9"/>
    </row>
    <row r="14" spans="1:17" ht="45" customHeight="1" x14ac:dyDescent="0.25">
      <c r="A14" s="4" t="s">
        <v>20</v>
      </c>
      <c r="B14" s="5" t="s">
        <v>59</v>
      </c>
      <c r="C14" s="4" t="s">
        <v>30</v>
      </c>
      <c r="D14" s="4" t="s">
        <v>60</v>
      </c>
      <c r="E14" s="4" t="s">
        <v>61</v>
      </c>
      <c r="F14" s="6">
        <f>1800</f>
        <v>1800</v>
      </c>
      <c r="G14" s="4" t="s">
        <v>33</v>
      </c>
      <c r="H14" s="7">
        <v>0.69</v>
      </c>
      <c r="I14" s="7">
        <v>0.69</v>
      </c>
      <c r="J14" s="8">
        <v>0.25</v>
      </c>
      <c r="K14" s="9">
        <f>0.86</f>
        <v>0.86</v>
      </c>
      <c r="L14" s="9">
        <f>1548</f>
        <v>1548</v>
      </c>
      <c r="M14" s="4"/>
      <c r="N14" s="10">
        <v>1</v>
      </c>
      <c r="O14" s="4" t="s">
        <v>26</v>
      </c>
      <c r="P14" s="11">
        <v>1800</v>
      </c>
      <c r="Q14" s="9">
        <f>1548</f>
        <v>1548</v>
      </c>
    </row>
    <row r="15" spans="1:17" ht="45" customHeight="1" x14ac:dyDescent="0.25">
      <c r="A15" s="4" t="s">
        <v>20</v>
      </c>
      <c r="B15" s="5" t="s">
        <v>62</v>
      </c>
      <c r="C15" s="4" t="s">
        <v>30</v>
      </c>
      <c r="D15" s="4" t="s">
        <v>63</v>
      </c>
      <c r="E15" s="4" t="s">
        <v>64</v>
      </c>
      <c r="F15" s="6">
        <f>360</f>
        <v>360</v>
      </c>
      <c r="G15" s="4" t="s">
        <v>65</v>
      </c>
      <c r="H15" s="7">
        <v>79.16</v>
      </c>
      <c r="I15" s="7">
        <v>79.16</v>
      </c>
      <c r="J15" s="8">
        <v>0.25</v>
      </c>
      <c r="K15" s="9">
        <f>98.95</f>
        <v>98.95</v>
      </c>
      <c r="L15" s="9">
        <f>35622</f>
        <v>35622</v>
      </c>
      <c r="M15" s="4"/>
      <c r="N15" s="10">
        <v>1</v>
      </c>
      <c r="O15" s="4" t="s">
        <v>26</v>
      </c>
      <c r="P15" s="11">
        <v>360</v>
      </c>
      <c r="Q15" s="9">
        <f>35622</f>
        <v>35622</v>
      </c>
    </row>
    <row r="16" spans="1:17" ht="45" customHeight="1" x14ac:dyDescent="0.25">
      <c r="A16" s="4" t="s">
        <v>20</v>
      </c>
      <c r="B16" s="5" t="s">
        <v>66</v>
      </c>
      <c r="C16" s="4" t="s">
        <v>30</v>
      </c>
      <c r="D16" s="4" t="s">
        <v>67</v>
      </c>
      <c r="E16" s="4" t="s">
        <v>68</v>
      </c>
      <c r="F16" s="6">
        <f>361.05</f>
        <v>361.05</v>
      </c>
      <c r="G16" s="4" t="s">
        <v>65</v>
      </c>
      <c r="H16" s="7">
        <v>42.93</v>
      </c>
      <c r="I16" s="7">
        <v>42.93</v>
      </c>
      <c r="J16" s="8">
        <v>0.25</v>
      </c>
      <c r="K16" s="9">
        <f>53.66</f>
        <v>53.66</v>
      </c>
      <c r="L16" s="9">
        <f>19373.94</f>
        <v>19373.939999999999</v>
      </c>
      <c r="M16" s="4"/>
      <c r="N16" s="10">
        <v>1</v>
      </c>
      <c r="O16" s="4" t="s">
        <v>26</v>
      </c>
      <c r="P16" s="11">
        <v>361.05</v>
      </c>
      <c r="Q16" s="9">
        <f>19373.94</f>
        <v>19373.939999999999</v>
      </c>
    </row>
    <row r="17" spans="1:17" ht="45" customHeight="1" x14ac:dyDescent="0.25">
      <c r="A17" s="4" t="s">
        <v>20</v>
      </c>
      <c r="B17" s="5" t="s">
        <v>69</v>
      </c>
      <c r="C17" s="4" t="s">
        <v>30</v>
      </c>
      <c r="D17" s="4" t="s">
        <v>70</v>
      </c>
      <c r="E17" s="4" t="s">
        <v>71</v>
      </c>
      <c r="F17" s="6">
        <f>169.11</f>
        <v>169.11</v>
      </c>
      <c r="G17" s="4" t="s">
        <v>65</v>
      </c>
      <c r="H17" s="7">
        <v>57.66</v>
      </c>
      <c r="I17" s="7">
        <v>57.66</v>
      </c>
      <c r="J17" s="8">
        <v>0.25</v>
      </c>
      <c r="K17" s="9">
        <f>72.08</f>
        <v>72.08</v>
      </c>
      <c r="L17" s="9">
        <f>12189.45</f>
        <v>12189.45</v>
      </c>
      <c r="M17" s="4"/>
      <c r="N17" s="10">
        <v>1</v>
      </c>
      <c r="O17" s="4" t="s">
        <v>26</v>
      </c>
      <c r="P17" s="11">
        <v>169.11</v>
      </c>
      <c r="Q17" s="9">
        <f>12189.45</f>
        <v>12189.45</v>
      </c>
    </row>
    <row r="18" spans="1:17" ht="45" customHeight="1" x14ac:dyDescent="0.25">
      <c r="A18" s="4" t="s">
        <v>20</v>
      </c>
      <c r="B18" s="5" t="s">
        <v>72</v>
      </c>
      <c r="C18" s="4" t="s">
        <v>30</v>
      </c>
      <c r="D18" s="4" t="s">
        <v>73</v>
      </c>
      <c r="E18" s="4" t="s">
        <v>74</v>
      </c>
      <c r="F18" s="6">
        <f>837.27</f>
        <v>837.27</v>
      </c>
      <c r="G18" s="4" t="s">
        <v>33</v>
      </c>
      <c r="H18" s="7">
        <v>8.3800000000000008</v>
      </c>
      <c r="I18" s="7">
        <v>8.3800000000000008</v>
      </c>
      <c r="J18" s="8">
        <v>0.25</v>
      </c>
      <c r="K18" s="9">
        <f>10.48</f>
        <v>10.48</v>
      </c>
      <c r="L18" s="9">
        <f>8774.59</f>
        <v>8774.59</v>
      </c>
      <c r="M18" s="4"/>
      <c r="N18" s="10">
        <v>1</v>
      </c>
      <c r="O18" s="4" t="s">
        <v>26</v>
      </c>
      <c r="P18" s="11">
        <v>837.27</v>
      </c>
      <c r="Q18" s="9">
        <f>8774.59</f>
        <v>8774.59</v>
      </c>
    </row>
    <row r="19" spans="1:17" ht="45" customHeight="1" x14ac:dyDescent="0.25">
      <c r="A19" s="4" t="s">
        <v>20</v>
      </c>
      <c r="B19" s="5" t="s">
        <v>75</v>
      </c>
      <c r="C19" s="4" t="s">
        <v>30</v>
      </c>
      <c r="D19" s="4" t="s">
        <v>76</v>
      </c>
      <c r="E19" s="4" t="s">
        <v>77</v>
      </c>
      <c r="F19" s="6">
        <f>466.76</f>
        <v>466.76</v>
      </c>
      <c r="G19" s="4" t="s">
        <v>65</v>
      </c>
      <c r="H19" s="7">
        <v>31.75</v>
      </c>
      <c r="I19" s="7">
        <v>31.75</v>
      </c>
      <c r="J19" s="8">
        <v>0.25</v>
      </c>
      <c r="K19" s="9">
        <f>39.69</f>
        <v>39.69</v>
      </c>
      <c r="L19" s="9">
        <f>18525.7</f>
        <v>18525.7</v>
      </c>
      <c r="M19" s="4"/>
      <c r="N19" s="10">
        <v>1</v>
      </c>
      <c r="O19" s="4" t="s">
        <v>26</v>
      </c>
      <c r="P19" s="11">
        <v>466.76</v>
      </c>
      <c r="Q19" s="9">
        <f>18525.7</f>
        <v>18525.7</v>
      </c>
    </row>
    <row r="20" spans="1:17" ht="45" customHeight="1" x14ac:dyDescent="0.25">
      <c r="A20" s="4" t="s">
        <v>20</v>
      </c>
      <c r="B20" s="5" t="s">
        <v>78</v>
      </c>
      <c r="C20" s="4" t="s">
        <v>30</v>
      </c>
      <c r="D20" s="4" t="s">
        <v>79</v>
      </c>
      <c r="E20" s="4" t="s">
        <v>80</v>
      </c>
      <c r="F20" s="6">
        <f>153.9</f>
        <v>153.9</v>
      </c>
      <c r="G20" s="4" t="s">
        <v>65</v>
      </c>
      <c r="H20" s="7">
        <v>85.58</v>
      </c>
      <c r="I20" s="7">
        <v>85.58</v>
      </c>
      <c r="J20" s="8">
        <v>0.25</v>
      </c>
      <c r="K20" s="9">
        <f>106.98</f>
        <v>106.98</v>
      </c>
      <c r="L20" s="9">
        <f>16464.22</f>
        <v>16464.22</v>
      </c>
      <c r="M20" s="4"/>
      <c r="N20" s="10">
        <v>1</v>
      </c>
      <c r="O20" s="4" t="s">
        <v>26</v>
      </c>
      <c r="P20" s="11">
        <v>153.9</v>
      </c>
      <c r="Q20" s="9">
        <f>16464.22</f>
        <v>16464.22</v>
      </c>
    </row>
    <row r="21" spans="1:17" ht="45" customHeight="1" x14ac:dyDescent="0.25">
      <c r="A21" s="4" t="s">
        <v>17</v>
      </c>
      <c r="B21" s="5" t="s">
        <v>81</v>
      </c>
      <c r="C21" s="4"/>
      <c r="D21" s="4"/>
      <c r="E21" s="4" t="s">
        <v>82</v>
      </c>
      <c r="F21" s="6"/>
      <c r="G21" s="4"/>
      <c r="H21" s="7"/>
      <c r="I21" s="7"/>
      <c r="J21" s="8"/>
      <c r="K21" s="9"/>
      <c r="L21" s="9">
        <f>156849.74</f>
        <v>156849.74</v>
      </c>
      <c r="M21" s="4"/>
      <c r="N21" s="10"/>
      <c r="O21" s="4"/>
      <c r="P21" s="11"/>
      <c r="Q21" s="9"/>
    </row>
    <row r="22" spans="1:17" ht="45" customHeight="1" x14ac:dyDescent="0.25">
      <c r="A22" s="4" t="s">
        <v>20</v>
      </c>
      <c r="B22" s="5" t="s">
        <v>83</v>
      </c>
      <c r="C22" s="4" t="s">
        <v>30</v>
      </c>
      <c r="D22" s="4" t="s">
        <v>84</v>
      </c>
      <c r="E22" s="4" t="s">
        <v>85</v>
      </c>
      <c r="F22" s="6">
        <f>570</f>
        <v>570</v>
      </c>
      <c r="G22" s="4" t="s">
        <v>46</v>
      </c>
      <c r="H22" s="7">
        <v>65.989999999999995</v>
      </c>
      <c r="I22" s="7">
        <v>65.989999999999995</v>
      </c>
      <c r="J22" s="8">
        <v>0.25</v>
      </c>
      <c r="K22" s="9">
        <f>82.49</f>
        <v>82.49</v>
      </c>
      <c r="L22" s="9">
        <f>47019.3</f>
        <v>47019.3</v>
      </c>
      <c r="M22" s="4"/>
      <c r="N22" s="10">
        <v>1</v>
      </c>
      <c r="O22" s="4" t="s">
        <v>26</v>
      </c>
      <c r="P22" s="11">
        <v>570</v>
      </c>
      <c r="Q22" s="9">
        <f>47019.3</f>
        <v>47019.3</v>
      </c>
    </row>
    <row r="23" spans="1:17" ht="45" customHeight="1" x14ac:dyDescent="0.25">
      <c r="A23" s="4" t="s">
        <v>20</v>
      </c>
      <c r="B23" s="5" t="s">
        <v>86</v>
      </c>
      <c r="C23" s="4" t="s">
        <v>30</v>
      </c>
      <c r="D23" s="4" t="s">
        <v>87</v>
      </c>
      <c r="E23" s="4" t="s">
        <v>88</v>
      </c>
      <c r="F23" s="6">
        <f>114</f>
        <v>114</v>
      </c>
      <c r="G23" s="4" t="s">
        <v>25</v>
      </c>
      <c r="H23" s="7">
        <v>21.64</v>
      </c>
      <c r="I23" s="7">
        <v>9.85</v>
      </c>
      <c r="J23" s="8">
        <v>0.25</v>
      </c>
      <c r="K23" s="9">
        <f>12.31</f>
        <v>12.31</v>
      </c>
      <c r="L23" s="9">
        <f>1403.34</f>
        <v>1403.34</v>
      </c>
      <c r="M23" s="4"/>
      <c r="N23" s="10">
        <v>1</v>
      </c>
      <c r="O23" s="4" t="s">
        <v>26</v>
      </c>
      <c r="P23" s="11">
        <v>114</v>
      </c>
      <c r="Q23" s="9">
        <f>1403.34</f>
        <v>1403.34</v>
      </c>
    </row>
    <row r="24" spans="1:17" ht="45" customHeight="1" x14ac:dyDescent="0.25">
      <c r="A24" s="4" t="s">
        <v>20</v>
      </c>
      <c r="B24" s="5" t="s">
        <v>89</v>
      </c>
      <c r="C24" s="4" t="s">
        <v>30</v>
      </c>
      <c r="D24" s="4" t="s">
        <v>90</v>
      </c>
      <c r="E24" s="4" t="s">
        <v>91</v>
      </c>
      <c r="F24" s="6">
        <f>20</f>
        <v>20</v>
      </c>
      <c r="G24" s="4" t="s">
        <v>46</v>
      </c>
      <c r="H24" s="7">
        <v>249.99</v>
      </c>
      <c r="I24" s="7">
        <v>249.99</v>
      </c>
      <c r="J24" s="8">
        <v>0.25</v>
      </c>
      <c r="K24" s="9">
        <f>312.49</f>
        <v>312.49</v>
      </c>
      <c r="L24" s="9">
        <f>6249.8</f>
        <v>6249.8</v>
      </c>
      <c r="M24" s="4"/>
      <c r="N24" s="10">
        <v>1</v>
      </c>
      <c r="O24" s="4" t="s">
        <v>26</v>
      </c>
      <c r="P24" s="11">
        <v>20</v>
      </c>
      <c r="Q24" s="9">
        <f>6249.8</f>
        <v>6249.8</v>
      </c>
    </row>
    <row r="25" spans="1:17" ht="45" customHeight="1" x14ac:dyDescent="0.25">
      <c r="A25" s="4" t="s">
        <v>20</v>
      </c>
      <c r="B25" s="5" t="s">
        <v>92</v>
      </c>
      <c r="C25" s="4" t="s">
        <v>30</v>
      </c>
      <c r="D25" s="4" t="s">
        <v>93</v>
      </c>
      <c r="E25" s="4" t="s">
        <v>94</v>
      </c>
      <c r="F25" s="6">
        <f>4</f>
        <v>4</v>
      </c>
      <c r="G25" s="4" t="s">
        <v>25</v>
      </c>
      <c r="H25" s="7">
        <v>34.630000000000003</v>
      </c>
      <c r="I25" s="7">
        <v>15.78</v>
      </c>
      <c r="J25" s="8">
        <v>0.25</v>
      </c>
      <c r="K25" s="9">
        <f>19.73</f>
        <v>19.73</v>
      </c>
      <c r="L25" s="9">
        <f>78.92</f>
        <v>78.92</v>
      </c>
      <c r="M25" s="4"/>
      <c r="N25" s="10">
        <v>1</v>
      </c>
      <c r="O25" s="4" t="s">
        <v>26</v>
      </c>
      <c r="P25" s="11">
        <v>4</v>
      </c>
      <c r="Q25" s="9">
        <f>78.92</f>
        <v>78.92</v>
      </c>
    </row>
    <row r="26" spans="1:17" ht="45" customHeight="1" x14ac:dyDescent="0.25">
      <c r="A26" s="4" t="s">
        <v>20</v>
      </c>
      <c r="B26" s="5" t="s">
        <v>95</v>
      </c>
      <c r="C26" s="4" t="s">
        <v>30</v>
      </c>
      <c r="D26" s="4" t="s">
        <v>96</v>
      </c>
      <c r="E26" s="4" t="s">
        <v>97</v>
      </c>
      <c r="F26" s="6">
        <f>0.59</f>
        <v>0.59</v>
      </c>
      <c r="G26" s="4" t="s">
        <v>65</v>
      </c>
      <c r="H26" s="7">
        <v>227.52</v>
      </c>
      <c r="I26" s="7">
        <v>227.52</v>
      </c>
      <c r="J26" s="8">
        <v>0.25</v>
      </c>
      <c r="K26" s="9">
        <f>284.4</f>
        <v>284.39999999999998</v>
      </c>
      <c r="L26" s="9">
        <f>167.8</f>
        <v>167.8</v>
      </c>
      <c r="M26" s="4"/>
      <c r="N26" s="10">
        <v>1</v>
      </c>
      <c r="O26" s="4" t="s">
        <v>26</v>
      </c>
      <c r="P26" s="11">
        <v>0.59</v>
      </c>
      <c r="Q26" s="9">
        <f>167.8</f>
        <v>167.8</v>
      </c>
    </row>
    <row r="27" spans="1:17" ht="45" customHeight="1" x14ac:dyDescent="0.25">
      <c r="A27" s="4" t="s">
        <v>20</v>
      </c>
      <c r="B27" s="5" t="s">
        <v>98</v>
      </c>
      <c r="C27" s="4" t="s">
        <v>30</v>
      </c>
      <c r="D27" s="4" t="s">
        <v>99</v>
      </c>
      <c r="E27" s="4" t="s">
        <v>100</v>
      </c>
      <c r="F27" s="6">
        <f>7.8</f>
        <v>7.8</v>
      </c>
      <c r="G27" s="4" t="s">
        <v>33</v>
      </c>
      <c r="H27" s="7">
        <v>42.62</v>
      </c>
      <c r="I27" s="7">
        <v>42.62</v>
      </c>
      <c r="J27" s="8">
        <v>0.25</v>
      </c>
      <c r="K27" s="9">
        <f>53.28</f>
        <v>53.28</v>
      </c>
      <c r="L27" s="9">
        <f>415.58</f>
        <v>415.58</v>
      </c>
      <c r="M27" s="4"/>
      <c r="N27" s="10">
        <v>1</v>
      </c>
      <c r="O27" s="4" t="s">
        <v>26</v>
      </c>
      <c r="P27" s="11">
        <v>7.8</v>
      </c>
      <c r="Q27" s="9">
        <f>415.58</f>
        <v>415.58</v>
      </c>
    </row>
    <row r="28" spans="1:17" ht="45" customHeight="1" x14ac:dyDescent="0.25">
      <c r="A28" s="4" t="s">
        <v>20</v>
      </c>
      <c r="B28" s="5" t="s">
        <v>101</v>
      </c>
      <c r="C28" s="4" t="s">
        <v>30</v>
      </c>
      <c r="D28" s="4" t="s">
        <v>102</v>
      </c>
      <c r="E28" s="4" t="s">
        <v>103</v>
      </c>
      <c r="F28" s="6">
        <f>17.3</f>
        <v>17.3</v>
      </c>
      <c r="G28" s="4" t="s">
        <v>33</v>
      </c>
      <c r="H28" s="7">
        <v>136.44</v>
      </c>
      <c r="I28" s="7">
        <v>136.44</v>
      </c>
      <c r="J28" s="8">
        <v>0.25</v>
      </c>
      <c r="K28" s="9">
        <f>170.55</f>
        <v>170.55</v>
      </c>
      <c r="L28" s="9">
        <f>2950.52</f>
        <v>2950.52</v>
      </c>
      <c r="M28" s="4"/>
      <c r="N28" s="10">
        <v>1</v>
      </c>
      <c r="O28" s="4" t="s">
        <v>26</v>
      </c>
      <c r="P28" s="11">
        <v>17.3</v>
      </c>
      <c r="Q28" s="9">
        <f>2950.52</f>
        <v>2950.52</v>
      </c>
    </row>
    <row r="29" spans="1:17" ht="45" customHeight="1" x14ac:dyDescent="0.25">
      <c r="A29" s="4" t="s">
        <v>20</v>
      </c>
      <c r="B29" s="5" t="s">
        <v>104</v>
      </c>
      <c r="C29" s="4" t="s">
        <v>30</v>
      </c>
      <c r="D29" s="4" t="s">
        <v>105</v>
      </c>
      <c r="E29" s="4" t="s">
        <v>106</v>
      </c>
      <c r="F29" s="6">
        <f>61.15</f>
        <v>61.15</v>
      </c>
      <c r="G29" s="4" t="s">
        <v>107</v>
      </c>
      <c r="H29" s="7">
        <v>14.64</v>
      </c>
      <c r="I29" s="7">
        <v>14.64</v>
      </c>
      <c r="J29" s="8">
        <v>0.25</v>
      </c>
      <c r="K29" s="9">
        <f>18.3</f>
        <v>18.3</v>
      </c>
      <c r="L29" s="9">
        <f>1119.05</f>
        <v>1119.05</v>
      </c>
      <c r="M29" s="4"/>
      <c r="N29" s="10">
        <v>1</v>
      </c>
      <c r="O29" s="4" t="s">
        <v>26</v>
      </c>
      <c r="P29" s="11">
        <v>61.15</v>
      </c>
      <c r="Q29" s="9">
        <f>1119.05</f>
        <v>1119.05</v>
      </c>
    </row>
    <row r="30" spans="1:17" ht="45" customHeight="1" x14ac:dyDescent="0.25">
      <c r="A30" s="4" t="s">
        <v>20</v>
      </c>
      <c r="B30" s="5" t="s">
        <v>108</v>
      </c>
      <c r="C30" s="4" t="s">
        <v>30</v>
      </c>
      <c r="D30" s="4" t="s">
        <v>109</v>
      </c>
      <c r="E30" s="4" t="s">
        <v>110</v>
      </c>
      <c r="F30" s="6">
        <f>54.79</f>
        <v>54.79</v>
      </c>
      <c r="G30" s="4" t="s">
        <v>107</v>
      </c>
      <c r="H30" s="7">
        <v>12.99</v>
      </c>
      <c r="I30" s="7">
        <v>12.99</v>
      </c>
      <c r="J30" s="8">
        <v>0.25</v>
      </c>
      <c r="K30" s="9">
        <f>16.24</f>
        <v>16.239999999999998</v>
      </c>
      <c r="L30" s="9">
        <f>889.79</f>
        <v>889.79</v>
      </c>
      <c r="M30" s="4"/>
      <c r="N30" s="10">
        <v>1</v>
      </c>
      <c r="O30" s="4" t="s">
        <v>26</v>
      </c>
      <c r="P30" s="11">
        <v>54.79</v>
      </c>
      <c r="Q30" s="9">
        <f>889.79</f>
        <v>889.79</v>
      </c>
    </row>
    <row r="31" spans="1:17" ht="45" customHeight="1" x14ac:dyDescent="0.25">
      <c r="A31" s="4" t="s">
        <v>20</v>
      </c>
      <c r="B31" s="5" t="s">
        <v>111</v>
      </c>
      <c r="C31" s="4" t="s">
        <v>30</v>
      </c>
      <c r="D31" s="4" t="s">
        <v>112</v>
      </c>
      <c r="E31" s="4" t="s">
        <v>113</v>
      </c>
      <c r="F31" s="6">
        <f>15.34</f>
        <v>15.34</v>
      </c>
      <c r="G31" s="4" t="s">
        <v>107</v>
      </c>
      <c r="H31" s="7">
        <v>17.32</v>
      </c>
      <c r="I31" s="7">
        <v>17.32</v>
      </c>
      <c r="J31" s="8">
        <v>0.25</v>
      </c>
      <c r="K31" s="9">
        <f>21.65</f>
        <v>21.65</v>
      </c>
      <c r="L31" s="9">
        <f>332.11</f>
        <v>332.11</v>
      </c>
      <c r="M31" s="4"/>
      <c r="N31" s="10">
        <v>1</v>
      </c>
      <c r="O31" s="4" t="s">
        <v>26</v>
      </c>
      <c r="P31" s="11">
        <v>15.34</v>
      </c>
      <c r="Q31" s="9">
        <f>332.11</f>
        <v>332.11</v>
      </c>
    </row>
    <row r="32" spans="1:17" ht="45" customHeight="1" x14ac:dyDescent="0.25">
      <c r="A32" s="4" t="s">
        <v>20</v>
      </c>
      <c r="B32" s="5" t="s">
        <v>114</v>
      </c>
      <c r="C32" s="4" t="s">
        <v>30</v>
      </c>
      <c r="D32" s="4" t="s">
        <v>115</v>
      </c>
      <c r="E32" s="4" t="s">
        <v>116</v>
      </c>
      <c r="F32" s="6">
        <f>2.14</f>
        <v>2.14</v>
      </c>
      <c r="G32" s="4" t="s">
        <v>65</v>
      </c>
      <c r="H32" s="7">
        <v>820.89</v>
      </c>
      <c r="I32" s="7">
        <v>820.89</v>
      </c>
      <c r="J32" s="8">
        <v>0.25</v>
      </c>
      <c r="K32" s="9">
        <f>1026.11</f>
        <v>1026.1099999999999</v>
      </c>
      <c r="L32" s="9">
        <f>2195.88</f>
        <v>2195.88</v>
      </c>
      <c r="M32" s="4"/>
      <c r="N32" s="10">
        <v>1</v>
      </c>
      <c r="O32" s="4" t="s">
        <v>26</v>
      </c>
      <c r="P32" s="11">
        <v>2.14</v>
      </c>
      <c r="Q32" s="9">
        <f>2195.88</f>
        <v>2195.88</v>
      </c>
    </row>
    <row r="33" spans="1:17" ht="45" customHeight="1" x14ac:dyDescent="0.25">
      <c r="A33" s="4" t="s">
        <v>20</v>
      </c>
      <c r="B33" s="5" t="s">
        <v>117</v>
      </c>
      <c r="C33" s="4" t="s">
        <v>30</v>
      </c>
      <c r="D33" s="4" t="s">
        <v>96</v>
      </c>
      <c r="E33" s="4" t="s">
        <v>97</v>
      </c>
      <c r="F33" s="6">
        <f>13.26</f>
        <v>13.26</v>
      </c>
      <c r="G33" s="4" t="s">
        <v>65</v>
      </c>
      <c r="H33" s="7">
        <v>227.52</v>
      </c>
      <c r="I33" s="7">
        <v>227.52</v>
      </c>
      <c r="J33" s="8">
        <v>0.25</v>
      </c>
      <c r="K33" s="9">
        <f>284.4</f>
        <v>284.39999999999998</v>
      </c>
      <c r="L33" s="9">
        <f>3771.14</f>
        <v>3771.14</v>
      </c>
      <c r="M33" s="4"/>
      <c r="N33" s="10">
        <v>1</v>
      </c>
      <c r="O33" s="4" t="s">
        <v>26</v>
      </c>
      <c r="P33" s="11">
        <v>13.26</v>
      </c>
      <c r="Q33" s="9">
        <f>3771.14</f>
        <v>3771.14</v>
      </c>
    </row>
    <row r="34" spans="1:17" ht="45" customHeight="1" x14ac:dyDescent="0.25">
      <c r="A34" s="4" t="s">
        <v>20</v>
      </c>
      <c r="B34" s="5" t="s">
        <v>118</v>
      </c>
      <c r="C34" s="4" t="s">
        <v>30</v>
      </c>
      <c r="D34" s="4" t="s">
        <v>99</v>
      </c>
      <c r="E34" s="4" t="s">
        <v>100</v>
      </c>
      <c r="F34" s="6">
        <f>265.15</f>
        <v>265.14999999999998</v>
      </c>
      <c r="G34" s="4" t="s">
        <v>33</v>
      </c>
      <c r="H34" s="7">
        <v>42.62</v>
      </c>
      <c r="I34" s="7">
        <v>42.62</v>
      </c>
      <c r="J34" s="8">
        <v>0.25</v>
      </c>
      <c r="K34" s="9">
        <f>53.28</f>
        <v>53.28</v>
      </c>
      <c r="L34" s="9">
        <f>14127.19</f>
        <v>14127.19</v>
      </c>
      <c r="M34" s="4"/>
      <c r="N34" s="10">
        <v>1</v>
      </c>
      <c r="O34" s="4" t="s">
        <v>26</v>
      </c>
      <c r="P34" s="11">
        <v>265.14999999999998</v>
      </c>
      <c r="Q34" s="9">
        <f>14127.19</f>
        <v>14127.19</v>
      </c>
    </row>
    <row r="35" spans="1:17" ht="45" customHeight="1" x14ac:dyDescent="0.25">
      <c r="A35" s="4" t="s">
        <v>20</v>
      </c>
      <c r="B35" s="5" t="s">
        <v>119</v>
      </c>
      <c r="C35" s="4" t="s">
        <v>30</v>
      </c>
      <c r="D35" s="4" t="s">
        <v>120</v>
      </c>
      <c r="E35" s="4" t="s">
        <v>121</v>
      </c>
      <c r="F35" s="6">
        <f>231.39</f>
        <v>231.39</v>
      </c>
      <c r="G35" s="4" t="s">
        <v>33</v>
      </c>
      <c r="H35" s="7">
        <v>77.81</v>
      </c>
      <c r="I35" s="7">
        <v>77.81</v>
      </c>
      <c r="J35" s="8">
        <v>0.25</v>
      </c>
      <c r="K35" s="9">
        <f>97.26</f>
        <v>97.26</v>
      </c>
      <c r="L35" s="9">
        <f>22504.99</f>
        <v>22504.99</v>
      </c>
      <c r="M35" s="4"/>
      <c r="N35" s="10">
        <v>1</v>
      </c>
      <c r="O35" s="4" t="s">
        <v>26</v>
      </c>
      <c r="P35" s="11">
        <v>231.39</v>
      </c>
      <c r="Q35" s="9">
        <f>22504.99</f>
        <v>22504.99</v>
      </c>
    </row>
    <row r="36" spans="1:17" ht="45" customHeight="1" x14ac:dyDescent="0.25">
      <c r="A36" s="4" t="s">
        <v>20</v>
      </c>
      <c r="B36" s="5" t="s">
        <v>122</v>
      </c>
      <c r="C36" s="4" t="s">
        <v>30</v>
      </c>
      <c r="D36" s="4" t="s">
        <v>123</v>
      </c>
      <c r="E36" s="4" t="s">
        <v>124</v>
      </c>
      <c r="F36" s="6">
        <f>299.36</f>
        <v>299.36</v>
      </c>
      <c r="G36" s="4" t="s">
        <v>107</v>
      </c>
      <c r="H36" s="7">
        <v>18.510000000000002</v>
      </c>
      <c r="I36" s="7">
        <v>18.510000000000002</v>
      </c>
      <c r="J36" s="8">
        <v>0.25</v>
      </c>
      <c r="K36" s="9">
        <f>23.14</f>
        <v>23.14</v>
      </c>
      <c r="L36" s="9">
        <f>6927.19</f>
        <v>6927.19</v>
      </c>
      <c r="M36" s="4"/>
      <c r="N36" s="10">
        <v>1</v>
      </c>
      <c r="O36" s="4" t="s">
        <v>26</v>
      </c>
      <c r="P36" s="11">
        <v>299.36</v>
      </c>
      <c r="Q36" s="9">
        <f>6927.19</f>
        <v>6927.19</v>
      </c>
    </row>
    <row r="37" spans="1:17" ht="45" customHeight="1" x14ac:dyDescent="0.25">
      <c r="A37" s="4" t="s">
        <v>20</v>
      </c>
      <c r="B37" s="5" t="s">
        <v>125</v>
      </c>
      <c r="C37" s="4" t="s">
        <v>30</v>
      </c>
      <c r="D37" s="4" t="s">
        <v>126</v>
      </c>
      <c r="E37" s="4" t="s">
        <v>127</v>
      </c>
      <c r="F37" s="6">
        <f>437.16</f>
        <v>437.16</v>
      </c>
      <c r="G37" s="4" t="s">
        <v>107</v>
      </c>
      <c r="H37" s="7">
        <v>14.38</v>
      </c>
      <c r="I37" s="7">
        <v>14.38</v>
      </c>
      <c r="J37" s="8">
        <v>0.25</v>
      </c>
      <c r="K37" s="9">
        <f>17.98</f>
        <v>17.98</v>
      </c>
      <c r="L37" s="9">
        <f>7860.14</f>
        <v>7860.14</v>
      </c>
      <c r="M37" s="4"/>
      <c r="N37" s="10">
        <v>1</v>
      </c>
      <c r="O37" s="4" t="s">
        <v>26</v>
      </c>
      <c r="P37" s="11">
        <v>437.16</v>
      </c>
      <c r="Q37" s="9">
        <f>7860.14</f>
        <v>7860.14</v>
      </c>
    </row>
    <row r="38" spans="1:17" ht="45" customHeight="1" x14ac:dyDescent="0.25">
      <c r="A38" s="4" t="s">
        <v>20</v>
      </c>
      <c r="B38" s="5" t="s">
        <v>128</v>
      </c>
      <c r="C38" s="4" t="s">
        <v>30</v>
      </c>
      <c r="D38" s="4" t="s">
        <v>129</v>
      </c>
      <c r="E38" s="4" t="s">
        <v>130</v>
      </c>
      <c r="F38" s="6">
        <f>50.62</f>
        <v>50.62</v>
      </c>
      <c r="G38" s="4" t="s">
        <v>107</v>
      </c>
      <c r="H38" s="7">
        <v>10.99</v>
      </c>
      <c r="I38" s="7">
        <v>10.99</v>
      </c>
      <c r="J38" s="8">
        <v>0.25</v>
      </c>
      <c r="K38" s="9">
        <f>13.74</f>
        <v>13.74</v>
      </c>
      <c r="L38" s="9">
        <f>695.52</f>
        <v>695.52</v>
      </c>
      <c r="M38" s="4"/>
      <c r="N38" s="10">
        <v>1</v>
      </c>
      <c r="O38" s="4" t="s">
        <v>26</v>
      </c>
      <c r="P38" s="11">
        <v>50.62</v>
      </c>
      <c r="Q38" s="9">
        <f>695.52</f>
        <v>695.52</v>
      </c>
    </row>
    <row r="39" spans="1:17" ht="45" customHeight="1" x14ac:dyDescent="0.25">
      <c r="A39" s="4" t="s">
        <v>20</v>
      </c>
      <c r="B39" s="5" t="s">
        <v>131</v>
      </c>
      <c r="C39" s="4" t="s">
        <v>30</v>
      </c>
      <c r="D39" s="4" t="s">
        <v>132</v>
      </c>
      <c r="E39" s="4" t="s">
        <v>133</v>
      </c>
      <c r="F39" s="6">
        <f>139.5</f>
        <v>139.5</v>
      </c>
      <c r="G39" s="4" t="s">
        <v>107</v>
      </c>
      <c r="H39" s="7">
        <v>10.29</v>
      </c>
      <c r="I39" s="7">
        <v>10.29</v>
      </c>
      <c r="J39" s="8">
        <v>0.25</v>
      </c>
      <c r="K39" s="9">
        <f>12.86</f>
        <v>12.86</v>
      </c>
      <c r="L39" s="9">
        <f>1793.97</f>
        <v>1793.97</v>
      </c>
      <c r="M39" s="4"/>
      <c r="N39" s="10">
        <v>1</v>
      </c>
      <c r="O39" s="4" t="s">
        <v>26</v>
      </c>
      <c r="P39" s="11">
        <v>139.5</v>
      </c>
      <c r="Q39" s="9">
        <f>1793.97</f>
        <v>1793.97</v>
      </c>
    </row>
    <row r="40" spans="1:17" ht="45" customHeight="1" x14ac:dyDescent="0.25">
      <c r="A40" s="4" t="s">
        <v>20</v>
      </c>
      <c r="B40" s="5" t="s">
        <v>134</v>
      </c>
      <c r="C40" s="4" t="s">
        <v>30</v>
      </c>
      <c r="D40" s="4" t="s">
        <v>135</v>
      </c>
      <c r="E40" s="4" t="s">
        <v>136</v>
      </c>
      <c r="F40" s="6">
        <f>213.06</f>
        <v>213.06</v>
      </c>
      <c r="G40" s="4" t="s">
        <v>107</v>
      </c>
      <c r="H40" s="7">
        <v>11.27</v>
      </c>
      <c r="I40" s="7">
        <v>11.27</v>
      </c>
      <c r="J40" s="8">
        <v>0.25</v>
      </c>
      <c r="K40" s="9">
        <f>14.09</f>
        <v>14.09</v>
      </c>
      <c r="L40" s="9">
        <f>3002.02</f>
        <v>3002.02</v>
      </c>
      <c r="M40" s="4"/>
      <c r="N40" s="10">
        <v>1</v>
      </c>
      <c r="O40" s="4" t="s">
        <v>26</v>
      </c>
      <c r="P40" s="11">
        <v>213.06</v>
      </c>
      <c r="Q40" s="9">
        <f>3002.02</f>
        <v>3002.02</v>
      </c>
    </row>
    <row r="41" spans="1:17" ht="45" customHeight="1" x14ac:dyDescent="0.25">
      <c r="A41" s="4" t="s">
        <v>20</v>
      </c>
      <c r="B41" s="5" t="s">
        <v>137</v>
      </c>
      <c r="C41" s="4" t="s">
        <v>30</v>
      </c>
      <c r="D41" s="4" t="s">
        <v>138</v>
      </c>
      <c r="E41" s="4" t="s">
        <v>139</v>
      </c>
      <c r="F41" s="6">
        <f>203.08</f>
        <v>203.08</v>
      </c>
      <c r="G41" s="4" t="s">
        <v>107</v>
      </c>
      <c r="H41" s="7">
        <v>20.78</v>
      </c>
      <c r="I41" s="7">
        <v>20.78</v>
      </c>
      <c r="J41" s="8">
        <v>0.25</v>
      </c>
      <c r="K41" s="9">
        <f>25.98</f>
        <v>25.98</v>
      </c>
      <c r="L41" s="9">
        <f>5276.02</f>
        <v>5276.02</v>
      </c>
      <c r="M41" s="4"/>
      <c r="N41" s="10">
        <v>1</v>
      </c>
      <c r="O41" s="4" t="s">
        <v>26</v>
      </c>
      <c r="P41" s="11">
        <v>203.08</v>
      </c>
      <c r="Q41" s="9">
        <f>5276.02</f>
        <v>5276.02</v>
      </c>
    </row>
    <row r="42" spans="1:17" ht="45" customHeight="1" x14ac:dyDescent="0.25">
      <c r="A42" s="4" t="s">
        <v>20</v>
      </c>
      <c r="B42" s="5" t="s">
        <v>140</v>
      </c>
      <c r="C42" s="4" t="s">
        <v>30</v>
      </c>
      <c r="D42" s="4" t="s">
        <v>141</v>
      </c>
      <c r="E42" s="4" t="s">
        <v>142</v>
      </c>
      <c r="F42" s="6">
        <f>28.6</f>
        <v>28.6</v>
      </c>
      <c r="G42" s="4" t="s">
        <v>65</v>
      </c>
      <c r="H42" s="7">
        <v>785.16</v>
      </c>
      <c r="I42" s="7">
        <v>785.16</v>
      </c>
      <c r="J42" s="8">
        <v>0.25</v>
      </c>
      <c r="K42" s="9">
        <f>981.45</f>
        <v>981.45</v>
      </c>
      <c r="L42" s="9">
        <f>28069.47</f>
        <v>28069.47</v>
      </c>
      <c r="M42" s="4"/>
      <c r="N42" s="10">
        <v>1</v>
      </c>
      <c r="O42" s="4" t="s">
        <v>26</v>
      </c>
      <c r="P42" s="11">
        <v>28.6</v>
      </c>
      <c r="Q42" s="9">
        <f>28069.47</f>
        <v>28069.47</v>
      </c>
    </row>
    <row r="43" spans="1:17" ht="45" customHeight="1" x14ac:dyDescent="0.25">
      <c r="A43" s="4" t="s">
        <v>17</v>
      </c>
      <c r="B43" s="5" t="s">
        <v>143</v>
      </c>
      <c r="C43" s="4"/>
      <c r="D43" s="4"/>
      <c r="E43" s="4" t="s">
        <v>144</v>
      </c>
      <c r="F43" s="6"/>
      <c r="G43" s="4"/>
      <c r="H43" s="7"/>
      <c r="I43" s="7"/>
      <c r="J43" s="8"/>
      <c r="K43" s="9"/>
      <c r="L43" s="9">
        <f>562776.44</f>
        <v>562776.43999999994</v>
      </c>
      <c r="M43" s="4"/>
      <c r="N43" s="10"/>
      <c r="O43" s="4"/>
      <c r="P43" s="11"/>
      <c r="Q43" s="9"/>
    </row>
    <row r="44" spans="1:17" ht="45" customHeight="1" x14ac:dyDescent="0.25">
      <c r="A44" s="4" t="s">
        <v>20</v>
      </c>
      <c r="B44" s="5" t="s">
        <v>145</v>
      </c>
      <c r="C44" s="4" t="s">
        <v>30</v>
      </c>
      <c r="D44" s="4" t="s">
        <v>96</v>
      </c>
      <c r="E44" s="4" t="s">
        <v>97</v>
      </c>
      <c r="F44" s="6">
        <f>27.57</f>
        <v>27.57</v>
      </c>
      <c r="G44" s="4" t="s">
        <v>65</v>
      </c>
      <c r="H44" s="7">
        <v>227.52</v>
      </c>
      <c r="I44" s="7">
        <v>227.52</v>
      </c>
      <c r="J44" s="8">
        <v>0.25</v>
      </c>
      <c r="K44" s="9">
        <f>284.4</f>
        <v>284.39999999999998</v>
      </c>
      <c r="L44" s="9">
        <f>7840.91</f>
        <v>7840.91</v>
      </c>
      <c r="M44" s="4"/>
      <c r="N44" s="10">
        <v>1</v>
      </c>
      <c r="O44" s="4" t="s">
        <v>26</v>
      </c>
      <c r="P44" s="11">
        <v>27.57</v>
      </c>
      <c r="Q44" s="9">
        <f>7840.91</f>
        <v>7840.91</v>
      </c>
    </row>
    <row r="45" spans="1:17" ht="45" customHeight="1" x14ac:dyDescent="0.25">
      <c r="A45" s="4" t="s">
        <v>20</v>
      </c>
      <c r="B45" s="5" t="s">
        <v>146</v>
      </c>
      <c r="C45" s="4" t="s">
        <v>30</v>
      </c>
      <c r="D45" s="4" t="s">
        <v>99</v>
      </c>
      <c r="E45" s="4" t="s">
        <v>100</v>
      </c>
      <c r="F45" s="6">
        <f>551.45</f>
        <v>551.45000000000005</v>
      </c>
      <c r="G45" s="4" t="s">
        <v>33</v>
      </c>
      <c r="H45" s="7">
        <v>42.62</v>
      </c>
      <c r="I45" s="7">
        <v>42.62</v>
      </c>
      <c r="J45" s="8">
        <v>0.25</v>
      </c>
      <c r="K45" s="9">
        <f>53.28</f>
        <v>53.28</v>
      </c>
      <c r="L45" s="9">
        <f>29381.26</f>
        <v>29381.26</v>
      </c>
      <c r="M45" s="4"/>
      <c r="N45" s="10">
        <v>1</v>
      </c>
      <c r="O45" s="4" t="s">
        <v>26</v>
      </c>
      <c r="P45" s="11">
        <v>551.45000000000005</v>
      </c>
      <c r="Q45" s="9">
        <f>29381.26</f>
        <v>29381.26</v>
      </c>
    </row>
    <row r="46" spans="1:17" ht="45" customHeight="1" x14ac:dyDescent="0.25">
      <c r="A46" s="4" t="s">
        <v>20</v>
      </c>
      <c r="B46" s="5" t="s">
        <v>147</v>
      </c>
      <c r="C46" s="4" t="s">
        <v>30</v>
      </c>
      <c r="D46" s="4" t="s">
        <v>148</v>
      </c>
      <c r="E46" s="4" t="s">
        <v>149</v>
      </c>
      <c r="F46" s="6">
        <f>331.58</f>
        <v>331.58</v>
      </c>
      <c r="G46" s="4" t="s">
        <v>33</v>
      </c>
      <c r="H46" s="7">
        <v>67.11</v>
      </c>
      <c r="I46" s="7">
        <v>67.11</v>
      </c>
      <c r="J46" s="8">
        <v>0.25</v>
      </c>
      <c r="K46" s="9">
        <f>83.89</f>
        <v>83.89</v>
      </c>
      <c r="L46" s="9">
        <f>27816.25</f>
        <v>27816.25</v>
      </c>
      <c r="M46" s="4"/>
      <c r="N46" s="10">
        <v>1</v>
      </c>
      <c r="O46" s="4" t="s">
        <v>26</v>
      </c>
      <c r="P46" s="11">
        <v>331.58</v>
      </c>
      <c r="Q46" s="9">
        <f>27816.25</f>
        <v>27816.25</v>
      </c>
    </row>
    <row r="47" spans="1:17" ht="45" customHeight="1" x14ac:dyDescent="0.25">
      <c r="A47" s="4" t="s">
        <v>20</v>
      </c>
      <c r="B47" s="5" t="s">
        <v>150</v>
      </c>
      <c r="C47" s="4" t="s">
        <v>30</v>
      </c>
      <c r="D47" s="4" t="s">
        <v>105</v>
      </c>
      <c r="E47" s="4" t="s">
        <v>106</v>
      </c>
      <c r="F47" s="6">
        <f>244.82</f>
        <v>244.82</v>
      </c>
      <c r="G47" s="4" t="s">
        <v>107</v>
      </c>
      <c r="H47" s="7">
        <v>14.64</v>
      </c>
      <c r="I47" s="7">
        <v>14.64</v>
      </c>
      <c r="J47" s="8">
        <v>0.25</v>
      </c>
      <c r="K47" s="9">
        <f>18.3</f>
        <v>18.3</v>
      </c>
      <c r="L47" s="9">
        <f>4480.21</f>
        <v>4480.21</v>
      </c>
      <c r="M47" s="4"/>
      <c r="N47" s="10">
        <v>1</v>
      </c>
      <c r="O47" s="4" t="s">
        <v>26</v>
      </c>
      <c r="P47" s="11">
        <v>244.82</v>
      </c>
      <c r="Q47" s="9">
        <f>4480.21</f>
        <v>4480.21</v>
      </c>
    </row>
    <row r="48" spans="1:17" ht="45" customHeight="1" x14ac:dyDescent="0.25">
      <c r="A48" s="4" t="s">
        <v>20</v>
      </c>
      <c r="B48" s="5" t="s">
        <v>151</v>
      </c>
      <c r="C48" s="4" t="s">
        <v>30</v>
      </c>
      <c r="D48" s="4" t="s">
        <v>109</v>
      </c>
      <c r="E48" s="4" t="s">
        <v>110</v>
      </c>
      <c r="F48" s="6">
        <f>491.49</f>
        <v>491.49</v>
      </c>
      <c r="G48" s="4" t="s">
        <v>107</v>
      </c>
      <c r="H48" s="7">
        <v>12.99</v>
      </c>
      <c r="I48" s="7">
        <v>12.99</v>
      </c>
      <c r="J48" s="8">
        <v>0.25</v>
      </c>
      <c r="K48" s="9">
        <f>16.24</f>
        <v>16.239999999999998</v>
      </c>
      <c r="L48" s="9">
        <f>7981.8</f>
        <v>7981.8</v>
      </c>
      <c r="M48" s="4"/>
      <c r="N48" s="10">
        <v>1</v>
      </c>
      <c r="O48" s="4" t="s">
        <v>26</v>
      </c>
      <c r="P48" s="11">
        <v>491.49</v>
      </c>
      <c r="Q48" s="9">
        <f>7981.8</f>
        <v>7981.8</v>
      </c>
    </row>
    <row r="49" spans="1:17" ht="45" customHeight="1" x14ac:dyDescent="0.25">
      <c r="A49" s="4" t="s">
        <v>20</v>
      </c>
      <c r="B49" s="5" t="s">
        <v>152</v>
      </c>
      <c r="C49" s="4" t="s">
        <v>30</v>
      </c>
      <c r="D49" s="4" t="s">
        <v>129</v>
      </c>
      <c r="E49" s="4" t="s">
        <v>130</v>
      </c>
      <c r="F49" s="6">
        <f>1005.28</f>
        <v>1005.28</v>
      </c>
      <c r="G49" s="4" t="s">
        <v>107</v>
      </c>
      <c r="H49" s="7">
        <v>10.99</v>
      </c>
      <c r="I49" s="7">
        <v>10.99</v>
      </c>
      <c r="J49" s="8">
        <v>0.25</v>
      </c>
      <c r="K49" s="9">
        <f>13.74</f>
        <v>13.74</v>
      </c>
      <c r="L49" s="9">
        <f>13812.55</f>
        <v>13812.55</v>
      </c>
      <c r="M49" s="4"/>
      <c r="N49" s="10">
        <v>1</v>
      </c>
      <c r="O49" s="4" t="s">
        <v>26</v>
      </c>
      <c r="P49" s="11">
        <v>1005.28</v>
      </c>
      <c r="Q49" s="9">
        <f>13812.55</f>
        <v>13812.55</v>
      </c>
    </row>
    <row r="50" spans="1:17" ht="45" customHeight="1" x14ac:dyDescent="0.25">
      <c r="A50" s="4" t="s">
        <v>20</v>
      </c>
      <c r="B50" s="5" t="s">
        <v>153</v>
      </c>
      <c r="C50" s="4" t="s">
        <v>30</v>
      </c>
      <c r="D50" s="4" t="s">
        <v>112</v>
      </c>
      <c r="E50" s="4" t="s">
        <v>113</v>
      </c>
      <c r="F50" s="6">
        <f>509.73</f>
        <v>509.73</v>
      </c>
      <c r="G50" s="4" t="s">
        <v>107</v>
      </c>
      <c r="H50" s="7">
        <v>17.32</v>
      </c>
      <c r="I50" s="7">
        <v>17.32</v>
      </c>
      <c r="J50" s="8">
        <v>0.25</v>
      </c>
      <c r="K50" s="9">
        <f>21.65</f>
        <v>21.65</v>
      </c>
      <c r="L50" s="9">
        <f>11035.65</f>
        <v>11035.65</v>
      </c>
      <c r="M50" s="4"/>
      <c r="N50" s="10">
        <v>1</v>
      </c>
      <c r="O50" s="4" t="s">
        <v>26</v>
      </c>
      <c r="P50" s="11">
        <v>509.73</v>
      </c>
      <c r="Q50" s="9">
        <f>11035.65</f>
        <v>11035.65</v>
      </c>
    </row>
    <row r="51" spans="1:17" ht="45" customHeight="1" x14ac:dyDescent="0.25">
      <c r="A51" s="4" t="s">
        <v>20</v>
      </c>
      <c r="B51" s="5" t="s">
        <v>154</v>
      </c>
      <c r="C51" s="4" t="s">
        <v>30</v>
      </c>
      <c r="D51" s="4" t="s">
        <v>141</v>
      </c>
      <c r="E51" s="4" t="s">
        <v>142</v>
      </c>
      <c r="F51" s="6">
        <f>32.52</f>
        <v>32.520000000000003</v>
      </c>
      <c r="G51" s="4" t="s">
        <v>65</v>
      </c>
      <c r="H51" s="7">
        <v>785.16</v>
      </c>
      <c r="I51" s="7">
        <v>785.16</v>
      </c>
      <c r="J51" s="8">
        <v>0.25</v>
      </c>
      <c r="K51" s="9">
        <f>981.45</f>
        <v>981.45</v>
      </c>
      <c r="L51" s="9">
        <f>31916.75</f>
        <v>31916.75</v>
      </c>
      <c r="M51" s="4"/>
      <c r="N51" s="10">
        <v>1</v>
      </c>
      <c r="O51" s="4" t="s">
        <v>26</v>
      </c>
      <c r="P51" s="11">
        <v>32.520000000000003</v>
      </c>
      <c r="Q51" s="9">
        <f>31916.75</f>
        <v>31916.75</v>
      </c>
    </row>
    <row r="52" spans="1:17" ht="45" customHeight="1" x14ac:dyDescent="0.25">
      <c r="A52" s="4" t="s">
        <v>20</v>
      </c>
      <c r="B52" s="5" t="s">
        <v>155</v>
      </c>
      <c r="C52" s="4" t="s">
        <v>30</v>
      </c>
      <c r="D52" s="4" t="s">
        <v>156</v>
      </c>
      <c r="E52" s="4" t="s">
        <v>157</v>
      </c>
      <c r="F52" s="6">
        <f>389.99</f>
        <v>389.99</v>
      </c>
      <c r="G52" s="4" t="s">
        <v>33</v>
      </c>
      <c r="H52" s="7">
        <v>57.52</v>
      </c>
      <c r="I52" s="7">
        <v>57.52</v>
      </c>
      <c r="J52" s="8">
        <v>0.25</v>
      </c>
      <c r="K52" s="9">
        <f>71.9</f>
        <v>71.900000000000006</v>
      </c>
      <c r="L52" s="9">
        <f>28040.28</f>
        <v>28040.28</v>
      </c>
      <c r="M52" s="4"/>
      <c r="N52" s="10">
        <v>1</v>
      </c>
      <c r="O52" s="4" t="s">
        <v>26</v>
      </c>
      <c r="P52" s="11">
        <v>389.99</v>
      </c>
      <c r="Q52" s="9">
        <f>28040.28</f>
        <v>28040.28</v>
      </c>
    </row>
    <row r="53" spans="1:17" ht="45" customHeight="1" x14ac:dyDescent="0.25">
      <c r="A53" s="4" t="s">
        <v>20</v>
      </c>
      <c r="B53" s="5" t="s">
        <v>158</v>
      </c>
      <c r="C53" s="4" t="s">
        <v>30</v>
      </c>
      <c r="D53" s="4" t="s">
        <v>159</v>
      </c>
      <c r="E53" s="4" t="s">
        <v>160</v>
      </c>
      <c r="F53" s="6">
        <f>1099.37</f>
        <v>1099.3699999999999</v>
      </c>
      <c r="G53" s="4" t="s">
        <v>107</v>
      </c>
      <c r="H53" s="7">
        <v>11.13</v>
      </c>
      <c r="I53" s="7">
        <v>11.13</v>
      </c>
      <c r="J53" s="8">
        <v>0.25</v>
      </c>
      <c r="K53" s="9">
        <f>13.91</f>
        <v>13.91</v>
      </c>
      <c r="L53" s="9">
        <f>15292.24</f>
        <v>15292.24</v>
      </c>
      <c r="M53" s="4"/>
      <c r="N53" s="10">
        <v>1</v>
      </c>
      <c r="O53" s="4" t="s">
        <v>26</v>
      </c>
      <c r="P53" s="11">
        <v>1099.3699999999999</v>
      </c>
      <c r="Q53" s="9">
        <f>15292.24</f>
        <v>15292.24</v>
      </c>
    </row>
    <row r="54" spans="1:17" ht="45" customHeight="1" x14ac:dyDescent="0.25">
      <c r="A54" s="4" t="s">
        <v>20</v>
      </c>
      <c r="B54" s="5" t="s">
        <v>161</v>
      </c>
      <c r="C54" s="4" t="s">
        <v>30</v>
      </c>
      <c r="D54" s="4" t="s">
        <v>162</v>
      </c>
      <c r="E54" s="4" t="s">
        <v>163</v>
      </c>
      <c r="F54" s="6">
        <f>13.56</f>
        <v>13.56</v>
      </c>
      <c r="G54" s="4" t="s">
        <v>107</v>
      </c>
      <c r="H54" s="7">
        <v>9.32</v>
      </c>
      <c r="I54" s="7">
        <v>9.32</v>
      </c>
      <c r="J54" s="8">
        <v>0.25</v>
      </c>
      <c r="K54" s="9">
        <f>11.65</f>
        <v>11.65</v>
      </c>
      <c r="L54" s="9">
        <f>157.97</f>
        <v>157.97</v>
      </c>
      <c r="M54" s="4"/>
      <c r="N54" s="10">
        <v>1</v>
      </c>
      <c r="O54" s="4" t="s">
        <v>26</v>
      </c>
      <c r="P54" s="11">
        <v>13.56</v>
      </c>
      <c r="Q54" s="9">
        <f>157.97</f>
        <v>157.97</v>
      </c>
    </row>
    <row r="55" spans="1:17" ht="45" customHeight="1" x14ac:dyDescent="0.25">
      <c r="A55" s="4" t="s">
        <v>20</v>
      </c>
      <c r="B55" s="5" t="s">
        <v>164</v>
      </c>
      <c r="C55" s="4" t="s">
        <v>30</v>
      </c>
      <c r="D55" s="4" t="s">
        <v>165</v>
      </c>
      <c r="E55" s="4" t="s">
        <v>166</v>
      </c>
      <c r="F55" s="6">
        <f>465.08</f>
        <v>465.08</v>
      </c>
      <c r="G55" s="4" t="s">
        <v>107</v>
      </c>
      <c r="H55" s="7">
        <v>14.4</v>
      </c>
      <c r="I55" s="7">
        <v>14.4</v>
      </c>
      <c r="J55" s="8">
        <v>0.25</v>
      </c>
      <c r="K55" s="9">
        <f>18</f>
        <v>18</v>
      </c>
      <c r="L55" s="9">
        <f>8371.44</f>
        <v>8371.44</v>
      </c>
      <c r="M55" s="4"/>
      <c r="N55" s="10">
        <v>1</v>
      </c>
      <c r="O55" s="4" t="s">
        <v>26</v>
      </c>
      <c r="P55" s="11">
        <v>465.08</v>
      </c>
      <c r="Q55" s="9">
        <f>8371.44</f>
        <v>8371.44</v>
      </c>
    </row>
    <row r="56" spans="1:17" ht="45" customHeight="1" x14ac:dyDescent="0.25">
      <c r="A56" s="4" t="s">
        <v>20</v>
      </c>
      <c r="B56" s="5" t="s">
        <v>167</v>
      </c>
      <c r="C56" s="4" t="s">
        <v>22</v>
      </c>
      <c r="D56" s="4" t="s">
        <v>168</v>
      </c>
      <c r="E56" s="4" t="s">
        <v>169</v>
      </c>
      <c r="F56" s="6">
        <f>19.02</f>
        <v>19.02</v>
      </c>
      <c r="G56" s="4" t="s">
        <v>65</v>
      </c>
      <c r="H56" s="7">
        <v>730.71</v>
      </c>
      <c r="I56" s="7">
        <v>730.67</v>
      </c>
      <c r="J56" s="8">
        <v>0.25</v>
      </c>
      <c r="K56" s="9">
        <f>913.34</f>
        <v>913.34</v>
      </c>
      <c r="L56" s="9">
        <f>17371.73</f>
        <v>17371.73</v>
      </c>
      <c r="M56" s="4"/>
      <c r="N56" s="10">
        <v>1</v>
      </c>
      <c r="O56" s="4" t="s">
        <v>26</v>
      </c>
      <c r="P56" s="11">
        <v>19.02</v>
      </c>
      <c r="Q56" s="9">
        <f>17371.73</f>
        <v>17371.73</v>
      </c>
    </row>
    <row r="57" spans="1:17" ht="45" customHeight="1" x14ac:dyDescent="0.25">
      <c r="A57" s="4" t="s">
        <v>20</v>
      </c>
      <c r="B57" s="5" t="s">
        <v>170</v>
      </c>
      <c r="C57" s="4" t="s">
        <v>30</v>
      </c>
      <c r="D57" s="4" t="s">
        <v>171</v>
      </c>
      <c r="E57" s="4" t="s">
        <v>172</v>
      </c>
      <c r="F57" s="6">
        <f>666.59</f>
        <v>666.59</v>
      </c>
      <c r="G57" s="4" t="s">
        <v>33</v>
      </c>
      <c r="H57" s="7">
        <v>72.010000000000005</v>
      </c>
      <c r="I57" s="7">
        <v>72.010000000000005</v>
      </c>
      <c r="J57" s="8">
        <v>0.25</v>
      </c>
      <c r="K57" s="9">
        <f>90.01</f>
        <v>90.01</v>
      </c>
      <c r="L57" s="9">
        <f>59999.77</f>
        <v>59999.77</v>
      </c>
      <c r="M57" s="4"/>
      <c r="N57" s="10">
        <v>1</v>
      </c>
      <c r="O57" s="4" t="s">
        <v>26</v>
      </c>
      <c r="P57" s="11">
        <v>666.59</v>
      </c>
      <c r="Q57" s="9">
        <f>59999.77</f>
        <v>59999.77</v>
      </c>
    </row>
    <row r="58" spans="1:17" ht="45" customHeight="1" x14ac:dyDescent="0.25">
      <c r="A58" s="4" t="s">
        <v>20</v>
      </c>
      <c r="B58" s="5" t="s">
        <v>173</v>
      </c>
      <c r="C58" s="4" t="s">
        <v>30</v>
      </c>
      <c r="D58" s="4" t="s">
        <v>174</v>
      </c>
      <c r="E58" s="4" t="s">
        <v>175</v>
      </c>
      <c r="F58" s="6">
        <f>1030.52</f>
        <v>1030.52</v>
      </c>
      <c r="G58" s="4" t="s">
        <v>107</v>
      </c>
      <c r="H58" s="7">
        <v>12.54</v>
      </c>
      <c r="I58" s="7">
        <v>12.54</v>
      </c>
      <c r="J58" s="8">
        <v>0.25</v>
      </c>
      <c r="K58" s="9">
        <f>15.68</f>
        <v>15.68</v>
      </c>
      <c r="L58" s="9">
        <f>16158.55</f>
        <v>16158.55</v>
      </c>
      <c r="M58" s="4"/>
      <c r="N58" s="10">
        <v>1</v>
      </c>
      <c r="O58" s="4" t="s">
        <v>26</v>
      </c>
      <c r="P58" s="11">
        <v>1030.52</v>
      </c>
      <c r="Q58" s="9">
        <f>16158.55</f>
        <v>16158.55</v>
      </c>
    </row>
    <row r="59" spans="1:17" ht="45" customHeight="1" x14ac:dyDescent="0.25">
      <c r="A59" s="4" t="s">
        <v>20</v>
      </c>
      <c r="B59" s="5" t="s">
        <v>176</v>
      </c>
      <c r="C59" s="4" t="s">
        <v>30</v>
      </c>
      <c r="D59" s="4" t="s">
        <v>159</v>
      </c>
      <c r="E59" s="4" t="s">
        <v>160</v>
      </c>
      <c r="F59" s="6">
        <f>319.67</f>
        <v>319.67</v>
      </c>
      <c r="G59" s="4" t="s">
        <v>107</v>
      </c>
      <c r="H59" s="7">
        <v>11.13</v>
      </c>
      <c r="I59" s="7">
        <v>11.13</v>
      </c>
      <c r="J59" s="8">
        <v>0.25</v>
      </c>
      <c r="K59" s="9">
        <f>13.91</f>
        <v>13.91</v>
      </c>
      <c r="L59" s="9">
        <f>4446.61</f>
        <v>4446.6099999999997</v>
      </c>
      <c r="M59" s="4"/>
      <c r="N59" s="10">
        <v>1</v>
      </c>
      <c r="O59" s="4" t="s">
        <v>26</v>
      </c>
      <c r="P59" s="11">
        <v>319.67</v>
      </c>
      <c r="Q59" s="9">
        <f>4446.61</f>
        <v>4446.6099999999997</v>
      </c>
    </row>
    <row r="60" spans="1:17" ht="45" customHeight="1" x14ac:dyDescent="0.25">
      <c r="A60" s="4" t="s">
        <v>20</v>
      </c>
      <c r="B60" s="5" t="s">
        <v>177</v>
      </c>
      <c r="C60" s="4" t="s">
        <v>30</v>
      </c>
      <c r="D60" s="4" t="s">
        <v>162</v>
      </c>
      <c r="E60" s="4" t="s">
        <v>163</v>
      </c>
      <c r="F60" s="6">
        <f>143.78</f>
        <v>143.78</v>
      </c>
      <c r="G60" s="4" t="s">
        <v>107</v>
      </c>
      <c r="H60" s="7">
        <v>9.32</v>
      </c>
      <c r="I60" s="7">
        <v>9.32</v>
      </c>
      <c r="J60" s="8">
        <v>0.25</v>
      </c>
      <c r="K60" s="9">
        <f>11.65</f>
        <v>11.65</v>
      </c>
      <c r="L60" s="9">
        <f>1675.04</f>
        <v>1675.04</v>
      </c>
      <c r="M60" s="4"/>
      <c r="N60" s="10">
        <v>1</v>
      </c>
      <c r="O60" s="4" t="s">
        <v>26</v>
      </c>
      <c r="P60" s="11">
        <v>143.78</v>
      </c>
      <c r="Q60" s="9">
        <f>1675.04</f>
        <v>1675.04</v>
      </c>
    </row>
    <row r="61" spans="1:17" ht="45" customHeight="1" x14ac:dyDescent="0.25">
      <c r="A61" s="4" t="s">
        <v>20</v>
      </c>
      <c r="B61" s="5" t="s">
        <v>178</v>
      </c>
      <c r="C61" s="4" t="s">
        <v>30</v>
      </c>
      <c r="D61" s="4" t="s">
        <v>165</v>
      </c>
      <c r="E61" s="4" t="s">
        <v>166</v>
      </c>
      <c r="F61" s="6">
        <f>564.06</f>
        <v>564.05999999999995</v>
      </c>
      <c r="G61" s="4" t="s">
        <v>107</v>
      </c>
      <c r="H61" s="7">
        <v>14.4</v>
      </c>
      <c r="I61" s="7">
        <v>14.4</v>
      </c>
      <c r="J61" s="8">
        <v>0.25</v>
      </c>
      <c r="K61" s="9">
        <f>18</f>
        <v>18</v>
      </c>
      <c r="L61" s="9">
        <f>10153.08</f>
        <v>10153.08</v>
      </c>
      <c r="M61" s="4"/>
      <c r="N61" s="10">
        <v>1</v>
      </c>
      <c r="O61" s="4" t="s">
        <v>26</v>
      </c>
      <c r="P61" s="11">
        <v>564.05999999999995</v>
      </c>
      <c r="Q61" s="9">
        <f>10153.08</f>
        <v>10153.08</v>
      </c>
    </row>
    <row r="62" spans="1:17" ht="45" customHeight="1" x14ac:dyDescent="0.25">
      <c r="A62" s="4" t="s">
        <v>20</v>
      </c>
      <c r="B62" s="5" t="s">
        <v>179</v>
      </c>
      <c r="C62" s="4" t="s">
        <v>22</v>
      </c>
      <c r="D62" s="4" t="s">
        <v>180</v>
      </c>
      <c r="E62" s="4" t="s">
        <v>181</v>
      </c>
      <c r="F62" s="6">
        <f>39.56</f>
        <v>39.56</v>
      </c>
      <c r="G62" s="4" t="s">
        <v>65</v>
      </c>
      <c r="H62" s="7">
        <v>730.77</v>
      </c>
      <c r="I62" s="7">
        <v>730.73</v>
      </c>
      <c r="J62" s="8">
        <v>0.25</v>
      </c>
      <c r="K62" s="9">
        <f>913.41</f>
        <v>913.41</v>
      </c>
      <c r="L62" s="9">
        <f>36134.5</f>
        <v>36134.5</v>
      </c>
      <c r="M62" s="4"/>
      <c r="N62" s="10">
        <v>1</v>
      </c>
      <c r="O62" s="4" t="s">
        <v>26</v>
      </c>
      <c r="P62" s="11">
        <v>39.56</v>
      </c>
      <c r="Q62" s="9">
        <f>36134.5</f>
        <v>36134.5</v>
      </c>
    </row>
    <row r="63" spans="1:17" ht="45" customHeight="1" x14ac:dyDescent="0.25">
      <c r="A63" s="4" t="s">
        <v>20</v>
      </c>
      <c r="B63" s="5" t="s">
        <v>182</v>
      </c>
      <c r="C63" s="4" t="s">
        <v>30</v>
      </c>
      <c r="D63" s="4" t="s">
        <v>183</v>
      </c>
      <c r="E63" s="4" t="s">
        <v>184</v>
      </c>
      <c r="F63" s="6">
        <f>12.86</f>
        <v>12.86</v>
      </c>
      <c r="G63" s="4" t="s">
        <v>33</v>
      </c>
      <c r="H63" s="7">
        <v>3.75</v>
      </c>
      <c r="I63" s="7">
        <v>3.75</v>
      </c>
      <c r="J63" s="8">
        <v>0.25</v>
      </c>
      <c r="K63" s="9">
        <f>4.69</f>
        <v>4.6900000000000004</v>
      </c>
      <c r="L63" s="9">
        <f>60.31</f>
        <v>60.31</v>
      </c>
      <c r="M63" s="4"/>
      <c r="N63" s="10">
        <v>1</v>
      </c>
      <c r="O63" s="4" t="s">
        <v>26</v>
      </c>
      <c r="P63" s="11">
        <v>12.86</v>
      </c>
      <c r="Q63" s="9">
        <f>60.31</f>
        <v>60.31</v>
      </c>
    </row>
    <row r="64" spans="1:17" ht="45" customHeight="1" x14ac:dyDescent="0.25">
      <c r="A64" s="4" t="s">
        <v>20</v>
      </c>
      <c r="B64" s="5" t="s">
        <v>185</v>
      </c>
      <c r="C64" s="4" t="s">
        <v>30</v>
      </c>
      <c r="D64" s="4" t="s">
        <v>186</v>
      </c>
      <c r="E64" s="4" t="s">
        <v>187</v>
      </c>
      <c r="F64" s="6">
        <f>1.29</f>
        <v>1.29</v>
      </c>
      <c r="G64" s="4" t="s">
        <v>65</v>
      </c>
      <c r="H64" s="7">
        <v>179</v>
      </c>
      <c r="I64" s="7">
        <v>179</v>
      </c>
      <c r="J64" s="8">
        <v>0.25</v>
      </c>
      <c r="K64" s="9">
        <f>223.75</f>
        <v>223.75</v>
      </c>
      <c r="L64" s="9">
        <f>288.64</f>
        <v>288.64</v>
      </c>
      <c r="M64" s="4"/>
      <c r="N64" s="10">
        <v>1</v>
      </c>
      <c r="O64" s="4" t="s">
        <v>26</v>
      </c>
      <c r="P64" s="11">
        <v>1.29</v>
      </c>
      <c r="Q64" s="9">
        <f>288.64</f>
        <v>288.64</v>
      </c>
    </row>
    <row r="65" spans="1:17" ht="45" customHeight="1" x14ac:dyDescent="0.25">
      <c r="A65" s="4" t="s">
        <v>20</v>
      </c>
      <c r="B65" s="5" t="s">
        <v>188</v>
      </c>
      <c r="C65" s="4" t="s">
        <v>30</v>
      </c>
      <c r="D65" s="4" t="s">
        <v>189</v>
      </c>
      <c r="E65" s="4" t="s">
        <v>190</v>
      </c>
      <c r="F65" s="6">
        <f>12.86</f>
        <v>12.86</v>
      </c>
      <c r="G65" s="4" t="s">
        <v>33</v>
      </c>
      <c r="H65" s="7">
        <v>2.69</v>
      </c>
      <c r="I65" s="7">
        <v>2.69</v>
      </c>
      <c r="J65" s="8">
        <v>0.25</v>
      </c>
      <c r="K65" s="9">
        <f>3.36</f>
        <v>3.36</v>
      </c>
      <c r="L65" s="9">
        <f>43.21</f>
        <v>43.21</v>
      </c>
      <c r="M65" s="4"/>
      <c r="N65" s="10">
        <v>1</v>
      </c>
      <c r="O65" s="4" t="s">
        <v>26</v>
      </c>
      <c r="P65" s="11">
        <v>12.86</v>
      </c>
      <c r="Q65" s="9">
        <f>43.21</f>
        <v>43.21</v>
      </c>
    </row>
    <row r="66" spans="1:17" ht="45" customHeight="1" x14ac:dyDescent="0.25">
      <c r="A66" s="4" t="s">
        <v>20</v>
      </c>
      <c r="B66" s="5" t="s">
        <v>191</v>
      </c>
      <c r="C66" s="4" t="s">
        <v>30</v>
      </c>
      <c r="D66" s="4" t="s">
        <v>192</v>
      </c>
      <c r="E66" s="4" t="s">
        <v>193</v>
      </c>
      <c r="F66" s="6">
        <f>5.6</f>
        <v>5.6</v>
      </c>
      <c r="G66" s="4" t="s">
        <v>33</v>
      </c>
      <c r="H66" s="7">
        <v>135.65</v>
      </c>
      <c r="I66" s="7">
        <v>135.65</v>
      </c>
      <c r="J66" s="8">
        <v>0.25</v>
      </c>
      <c r="K66" s="9">
        <f>169.56</f>
        <v>169.56</v>
      </c>
      <c r="L66" s="9">
        <f>949.54</f>
        <v>949.54</v>
      </c>
      <c r="M66" s="4"/>
      <c r="N66" s="10">
        <v>1</v>
      </c>
      <c r="O66" s="4" t="s">
        <v>26</v>
      </c>
      <c r="P66" s="11">
        <v>5.6</v>
      </c>
      <c r="Q66" s="9">
        <f>949.54</f>
        <v>949.54</v>
      </c>
    </row>
    <row r="67" spans="1:17" ht="45" customHeight="1" x14ac:dyDescent="0.25">
      <c r="A67" s="4" t="s">
        <v>20</v>
      </c>
      <c r="B67" s="5" t="s">
        <v>194</v>
      </c>
      <c r="C67" s="4" t="s">
        <v>30</v>
      </c>
      <c r="D67" s="4" t="s">
        <v>195</v>
      </c>
      <c r="E67" s="4" t="s">
        <v>196</v>
      </c>
      <c r="F67" s="6">
        <f>15.87</f>
        <v>15.87</v>
      </c>
      <c r="G67" s="4" t="s">
        <v>107</v>
      </c>
      <c r="H67" s="7">
        <v>14.92</v>
      </c>
      <c r="I67" s="7">
        <v>14.92</v>
      </c>
      <c r="J67" s="8">
        <v>0.25</v>
      </c>
      <c r="K67" s="9">
        <f>18.65</f>
        <v>18.649999999999999</v>
      </c>
      <c r="L67" s="9">
        <f>295.98</f>
        <v>295.98</v>
      </c>
      <c r="M67" s="4"/>
      <c r="N67" s="10">
        <v>1</v>
      </c>
      <c r="O67" s="4" t="s">
        <v>26</v>
      </c>
      <c r="P67" s="11">
        <v>15.87</v>
      </c>
      <c r="Q67" s="9">
        <f>295.98</f>
        <v>295.98</v>
      </c>
    </row>
    <row r="68" spans="1:17" ht="45" customHeight="1" x14ac:dyDescent="0.25">
      <c r="A68" s="4" t="s">
        <v>20</v>
      </c>
      <c r="B68" s="5" t="s">
        <v>197</v>
      </c>
      <c r="C68" s="4" t="s">
        <v>30</v>
      </c>
      <c r="D68" s="4" t="s">
        <v>198</v>
      </c>
      <c r="E68" s="4" t="s">
        <v>199</v>
      </c>
      <c r="F68" s="6">
        <f>1.72</f>
        <v>1.72</v>
      </c>
      <c r="G68" s="4" t="s">
        <v>65</v>
      </c>
      <c r="H68" s="7">
        <v>679.76</v>
      </c>
      <c r="I68" s="7">
        <v>679.76</v>
      </c>
      <c r="J68" s="8">
        <v>0.25</v>
      </c>
      <c r="K68" s="9">
        <f>849.7</f>
        <v>849.7</v>
      </c>
      <c r="L68" s="9">
        <f>1461.48</f>
        <v>1461.48</v>
      </c>
      <c r="M68" s="4"/>
      <c r="N68" s="10">
        <v>1</v>
      </c>
      <c r="O68" s="4" t="s">
        <v>26</v>
      </c>
      <c r="P68" s="11">
        <v>1.72</v>
      </c>
      <c r="Q68" s="9">
        <f>1461.48</f>
        <v>1461.48</v>
      </c>
    </row>
    <row r="69" spans="1:17" ht="45" customHeight="1" x14ac:dyDescent="0.25">
      <c r="A69" s="4" t="s">
        <v>20</v>
      </c>
      <c r="B69" s="5" t="s">
        <v>200</v>
      </c>
      <c r="C69" s="4" t="s">
        <v>30</v>
      </c>
      <c r="D69" s="4" t="s">
        <v>201</v>
      </c>
      <c r="E69" s="4" t="s">
        <v>202</v>
      </c>
      <c r="F69" s="6">
        <f>5.15</f>
        <v>5.15</v>
      </c>
      <c r="G69" s="4" t="s">
        <v>33</v>
      </c>
      <c r="H69" s="7">
        <v>37.090000000000003</v>
      </c>
      <c r="I69" s="7">
        <v>37.090000000000003</v>
      </c>
      <c r="J69" s="8">
        <v>0.25</v>
      </c>
      <c r="K69" s="9">
        <f>46.36</f>
        <v>46.36</v>
      </c>
      <c r="L69" s="9">
        <f>238.75</f>
        <v>238.75</v>
      </c>
      <c r="M69" s="4"/>
      <c r="N69" s="10">
        <v>1</v>
      </c>
      <c r="O69" s="4" t="s">
        <v>26</v>
      </c>
      <c r="P69" s="11">
        <v>5.15</v>
      </c>
      <c r="Q69" s="9">
        <f>238.75</f>
        <v>238.75</v>
      </c>
    </row>
    <row r="70" spans="1:17" ht="45" customHeight="1" x14ac:dyDescent="0.25">
      <c r="A70" s="4" t="s">
        <v>20</v>
      </c>
      <c r="B70" s="5" t="s">
        <v>203</v>
      </c>
      <c r="C70" s="4" t="s">
        <v>30</v>
      </c>
      <c r="D70" s="4" t="s">
        <v>204</v>
      </c>
      <c r="E70" s="4" t="s">
        <v>205</v>
      </c>
      <c r="F70" s="6">
        <f>16.11</f>
        <v>16.11</v>
      </c>
      <c r="G70" s="4" t="s">
        <v>33</v>
      </c>
      <c r="H70" s="7">
        <v>37.880000000000003</v>
      </c>
      <c r="I70" s="7">
        <v>37.880000000000003</v>
      </c>
      <c r="J70" s="8">
        <v>0.25</v>
      </c>
      <c r="K70" s="9">
        <f>47.35</f>
        <v>47.35</v>
      </c>
      <c r="L70" s="9">
        <f>762.81</f>
        <v>762.81</v>
      </c>
      <c r="M70" s="4"/>
      <c r="N70" s="10">
        <v>1</v>
      </c>
      <c r="O70" s="4" t="s">
        <v>26</v>
      </c>
      <c r="P70" s="11">
        <v>16.11</v>
      </c>
      <c r="Q70" s="9">
        <f>762.81</f>
        <v>762.81</v>
      </c>
    </row>
    <row r="71" spans="1:17" ht="45" customHeight="1" x14ac:dyDescent="0.25">
      <c r="A71" s="4" t="s">
        <v>20</v>
      </c>
      <c r="B71" s="5" t="s">
        <v>206</v>
      </c>
      <c r="C71" s="4" t="s">
        <v>30</v>
      </c>
      <c r="D71" s="4" t="s">
        <v>207</v>
      </c>
      <c r="E71" s="4" t="s">
        <v>208</v>
      </c>
      <c r="F71" s="6">
        <f>0.83</f>
        <v>0.83</v>
      </c>
      <c r="G71" s="4" t="s">
        <v>107</v>
      </c>
      <c r="H71" s="7">
        <v>12.84</v>
      </c>
      <c r="I71" s="7">
        <v>12.84</v>
      </c>
      <c r="J71" s="8">
        <v>0.25</v>
      </c>
      <c r="K71" s="9">
        <f>16.05</f>
        <v>16.05</v>
      </c>
      <c r="L71" s="9">
        <f>13.32</f>
        <v>13.32</v>
      </c>
      <c r="M71" s="4"/>
      <c r="N71" s="10">
        <v>1</v>
      </c>
      <c r="O71" s="4" t="s">
        <v>26</v>
      </c>
      <c r="P71" s="11">
        <v>0.83</v>
      </c>
      <c r="Q71" s="9">
        <f>13.32</f>
        <v>13.32</v>
      </c>
    </row>
    <row r="72" spans="1:17" ht="45" customHeight="1" x14ac:dyDescent="0.25">
      <c r="A72" s="4" t="s">
        <v>20</v>
      </c>
      <c r="B72" s="5" t="s">
        <v>209</v>
      </c>
      <c r="C72" s="4" t="s">
        <v>30</v>
      </c>
      <c r="D72" s="4" t="s">
        <v>210</v>
      </c>
      <c r="E72" s="4" t="s">
        <v>211</v>
      </c>
      <c r="F72" s="6">
        <f>12.4</f>
        <v>12.4</v>
      </c>
      <c r="G72" s="4" t="s">
        <v>107</v>
      </c>
      <c r="H72" s="7">
        <v>12</v>
      </c>
      <c r="I72" s="7">
        <v>12</v>
      </c>
      <c r="J72" s="8">
        <v>0.25</v>
      </c>
      <c r="K72" s="9">
        <f>15</f>
        <v>15</v>
      </c>
      <c r="L72" s="9">
        <f>186</f>
        <v>186</v>
      </c>
      <c r="M72" s="4"/>
      <c r="N72" s="10">
        <v>1</v>
      </c>
      <c r="O72" s="4" t="s">
        <v>26</v>
      </c>
      <c r="P72" s="11">
        <v>12.4</v>
      </c>
      <c r="Q72" s="9">
        <f>186</f>
        <v>186</v>
      </c>
    </row>
    <row r="73" spans="1:17" ht="45" customHeight="1" x14ac:dyDescent="0.25">
      <c r="A73" s="4" t="s">
        <v>20</v>
      </c>
      <c r="B73" s="5" t="s">
        <v>212</v>
      </c>
      <c r="C73" s="4" t="s">
        <v>30</v>
      </c>
      <c r="D73" s="4" t="s">
        <v>213</v>
      </c>
      <c r="E73" s="4" t="s">
        <v>214</v>
      </c>
      <c r="F73" s="6">
        <f>24.59</f>
        <v>24.59</v>
      </c>
      <c r="G73" s="4" t="s">
        <v>107</v>
      </c>
      <c r="H73" s="7">
        <v>13.73</v>
      </c>
      <c r="I73" s="7">
        <v>13.73</v>
      </c>
      <c r="J73" s="8">
        <v>0.25</v>
      </c>
      <c r="K73" s="9">
        <f>17.16</f>
        <v>17.16</v>
      </c>
      <c r="L73" s="9">
        <f>421.96</f>
        <v>421.96</v>
      </c>
      <c r="M73" s="4"/>
      <c r="N73" s="10">
        <v>1</v>
      </c>
      <c r="O73" s="4" t="s">
        <v>26</v>
      </c>
      <c r="P73" s="11">
        <v>24.59</v>
      </c>
      <c r="Q73" s="9">
        <f>421.96</f>
        <v>421.96</v>
      </c>
    </row>
    <row r="74" spans="1:17" ht="45" customHeight="1" x14ac:dyDescent="0.25">
      <c r="A74" s="4" t="s">
        <v>20</v>
      </c>
      <c r="B74" s="5" t="s">
        <v>215</v>
      </c>
      <c r="C74" s="4" t="s">
        <v>22</v>
      </c>
      <c r="D74" s="4" t="s">
        <v>180</v>
      </c>
      <c r="E74" s="4" t="s">
        <v>181</v>
      </c>
      <c r="F74" s="6">
        <f>1.46</f>
        <v>1.46</v>
      </c>
      <c r="G74" s="4" t="s">
        <v>65</v>
      </c>
      <c r="H74" s="7">
        <v>730.77</v>
      </c>
      <c r="I74" s="7">
        <v>730.73</v>
      </c>
      <c r="J74" s="8">
        <v>0.25</v>
      </c>
      <c r="K74" s="9">
        <f>913.41</f>
        <v>913.41</v>
      </c>
      <c r="L74" s="9">
        <f>1333.58</f>
        <v>1333.58</v>
      </c>
      <c r="M74" s="4"/>
      <c r="N74" s="10">
        <v>1</v>
      </c>
      <c r="O74" s="4" t="s">
        <v>26</v>
      </c>
      <c r="P74" s="11">
        <v>1.46</v>
      </c>
      <c r="Q74" s="9">
        <f>1333.58</f>
        <v>1333.58</v>
      </c>
    </row>
    <row r="75" spans="1:17" ht="45" customHeight="1" x14ac:dyDescent="0.25">
      <c r="A75" s="4" t="s">
        <v>20</v>
      </c>
      <c r="B75" s="5" t="s">
        <v>216</v>
      </c>
      <c r="C75" s="4" t="s">
        <v>22</v>
      </c>
      <c r="D75" s="4" t="s">
        <v>217</v>
      </c>
      <c r="E75" s="4" t="s">
        <v>218</v>
      </c>
      <c r="F75" s="6">
        <f>12515.5</f>
        <v>12515.5</v>
      </c>
      <c r="G75" s="4" t="s">
        <v>107</v>
      </c>
      <c r="H75" s="7">
        <v>13.11</v>
      </c>
      <c r="I75" s="7">
        <v>13.05</v>
      </c>
      <c r="J75" s="8">
        <v>0.25</v>
      </c>
      <c r="K75" s="9">
        <f>16.31</f>
        <v>16.309999999999999</v>
      </c>
      <c r="L75" s="9">
        <f>204127.81</f>
        <v>204127.81</v>
      </c>
      <c r="M75" s="4"/>
      <c r="N75" s="10">
        <v>1</v>
      </c>
      <c r="O75" s="4" t="s">
        <v>26</v>
      </c>
      <c r="P75" s="11">
        <v>12515.5</v>
      </c>
      <c r="Q75" s="9">
        <f>204127.81</f>
        <v>204127.81</v>
      </c>
    </row>
    <row r="76" spans="1:17" ht="45" customHeight="1" x14ac:dyDescent="0.25">
      <c r="A76" s="4" t="s">
        <v>20</v>
      </c>
      <c r="B76" s="5" t="s">
        <v>219</v>
      </c>
      <c r="C76" s="4" t="s">
        <v>30</v>
      </c>
      <c r="D76" s="4" t="s">
        <v>220</v>
      </c>
      <c r="E76" s="4" t="s">
        <v>221</v>
      </c>
      <c r="F76" s="6">
        <f>826.84</f>
        <v>826.84</v>
      </c>
      <c r="G76" s="4" t="s">
        <v>33</v>
      </c>
      <c r="H76" s="7">
        <v>12.92</v>
      </c>
      <c r="I76" s="7">
        <v>12.92</v>
      </c>
      <c r="J76" s="8">
        <v>0.25</v>
      </c>
      <c r="K76" s="9">
        <f>16.15</f>
        <v>16.149999999999999</v>
      </c>
      <c r="L76" s="9">
        <f>13353.47</f>
        <v>13353.47</v>
      </c>
      <c r="M76" s="4"/>
      <c r="N76" s="10">
        <v>1</v>
      </c>
      <c r="O76" s="4" t="s">
        <v>26</v>
      </c>
      <c r="P76" s="11">
        <v>826.84</v>
      </c>
      <c r="Q76" s="9">
        <f>13353.47</f>
        <v>13353.47</v>
      </c>
    </row>
    <row r="77" spans="1:17" ht="45" customHeight="1" x14ac:dyDescent="0.25">
      <c r="A77" s="4" t="s">
        <v>20</v>
      </c>
      <c r="B77" s="5" t="s">
        <v>222</v>
      </c>
      <c r="C77" s="4" t="s">
        <v>30</v>
      </c>
      <c r="D77" s="4" t="s">
        <v>223</v>
      </c>
      <c r="E77" s="4" t="s">
        <v>224</v>
      </c>
      <c r="F77" s="6">
        <f>240.06</f>
        <v>240.06</v>
      </c>
      <c r="G77" s="4" t="s">
        <v>33</v>
      </c>
      <c r="H77" s="7">
        <v>12.04</v>
      </c>
      <c r="I77" s="7">
        <v>12.04</v>
      </c>
      <c r="J77" s="8">
        <v>0.25</v>
      </c>
      <c r="K77" s="9">
        <f>15.05</f>
        <v>15.05</v>
      </c>
      <c r="L77" s="9">
        <f>3612.9</f>
        <v>3612.9</v>
      </c>
      <c r="M77" s="4"/>
      <c r="N77" s="10">
        <v>1</v>
      </c>
      <c r="O77" s="4" t="s">
        <v>26</v>
      </c>
      <c r="P77" s="11">
        <v>240.06</v>
      </c>
      <c r="Q77" s="9">
        <f>3612.9</f>
        <v>3612.9</v>
      </c>
    </row>
    <row r="78" spans="1:17" ht="45" customHeight="1" x14ac:dyDescent="0.25">
      <c r="A78" s="4" t="s">
        <v>20</v>
      </c>
      <c r="B78" s="5" t="s">
        <v>225</v>
      </c>
      <c r="C78" s="4" t="s">
        <v>30</v>
      </c>
      <c r="D78" s="4" t="s">
        <v>226</v>
      </c>
      <c r="E78" s="4" t="s">
        <v>227</v>
      </c>
      <c r="F78" s="6">
        <f>240.06</f>
        <v>240.06</v>
      </c>
      <c r="G78" s="4" t="s">
        <v>33</v>
      </c>
      <c r="H78" s="7">
        <v>11.86</v>
      </c>
      <c r="I78" s="7">
        <v>11.86</v>
      </c>
      <c r="J78" s="8">
        <v>0.25</v>
      </c>
      <c r="K78" s="9">
        <f>14.83</f>
        <v>14.83</v>
      </c>
      <c r="L78" s="9">
        <f>3560.09</f>
        <v>3560.09</v>
      </c>
      <c r="M78" s="4"/>
      <c r="N78" s="10">
        <v>1</v>
      </c>
      <c r="O78" s="4" t="s">
        <v>26</v>
      </c>
      <c r="P78" s="11">
        <v>240.06</v>
      </c>
      <c r="Q78" s="9">
        <f>3560.09</f>
        <v>3560.09</v>
      </c>
    </row>
    <row r="79" spans="1:17" ht="45" customHeight="1" x14ac:dyDescent="0.25">
      <c r="A79" s="4" t="s">
        <v>17</v>
      </c>
      <c r="B79" s="5" t="s">
        <v>228</v>
      </c>
      <c r="C79" s="4"/>
      <c r="D79" s="4"/>
      <c r="E79" s="4" t="s">
        <v>229</v>
      </c>
      <c r="F79" s="6"/>
      <c r="G79" s="4"/>
      <c r="H79" s="7"/>
      <c r="I79" s="7"/>
      <c r="J79" s="8"/>
      <c r="K79" s="9"/>
      <c r="L79" s="9">
        <f>125312.74</f>
        <v>125312.74</v>
      </c>
      <c r="M79" s="4"/>
      <c r="N79" s="10"/>
      <c r="O79" s="4"/>
      <c r="P79" s="11"/>
      <c r="Q79" s="9"/>
    </row>
    <row r="80" spans="1:17" ht="45" customHeight="1" x14ac:dyDescent="0.25">
      <c r="A80" s="4" t="s">
        <v>20</v>
      </c>
      <c r="B80" s="5" t="s">
        <v>230</v>
      </c>
      <c r="C80" s="4" t="s">
        <v>30</v>
      </c>
      <c r="D80" s="4" t="s">
        <v>231</v>
      </c>
      <c r="E80" s="4" t="s">
        <v>232</v>
      </c>
      <c r="F80" s="6">
        <f>4.8</f>
        <v>4.8</v>
      </c>
      <c r="G80" s="4" t="s">
        <v>33</v>
      </c>
      <c r="H80" s="7">
        <v>273.57</v>
      </c>
      <c r="I80" s="7">
        <v>273.57</v>
      </c>
      <c r="J80" s="8">
        <v>0.25</v>
      </c>
      <c r="K80" s="9">
        <f>341.96</f>
        <v>341.96</v>
      </c>
      <c r="L80" s="9">
        <f>1641.41</f>
        <v>1641.41</v>
      </c>
      <c r="M80" s="4"/>
      <c r="N80" s="10">
        <v>1</v>
      </c>
      <c r="O80" s="4" t="s">
        <v>26</v>
      </c>
      <c r="P80" s="11">
        <v>4.8</v>
      </c>
      <c r="Q80" s="9">
        <f>1641.41</f>
        <v>1641.41</v>
      </c>
    </row>
    <row r="81" spans="1:17" ht="45" customHeight="1" x14ac:dyDescent="0.25">
      <c r="A81" s="4" t="s">
        <v>20</v>
      </c>
      <c r="B81" s="5" t="s">
        <v>233</v>
      </c>
      <c r="C81" s="4" t="s">
        <v>30</v>
      </c>
      <c r="D81" s="4" t="s">
        <v>234</v>
      </c>
      <c r="E81" s="4" t="s">
        <v>235</v>
      </c>
      <c r="F81" s="6">
        <f>632.97</f>
        <v>632.97</v>
      </c>
      <c r="G81" s="4" t="s">
        <v>33</v>
      </c>
      <c r="H81" s="7">
        <v>73.05</v>
      </c>
      <c r="I81" s="7">
        <v>73.05</v>
      </c>
      <c r="J81" s="8">
        <v>0.25</v>
      </c>
      <c r="K81" s="9">
        <f>91.31</f>
        <v>91.31</v>
      </c>
      <c r="L81" s="9">
        <f>57796.49</f>
        <v>57796.49</v>
      </c>
      <c r="M81" s="4"/>
      <c r="N81" s="10">
        <v>1</v>
      </c>
      <c r="O81" s="4" t="s">
        <v>26</v>
      </c>
      <c r="P81" s="11">
        <v>632.97</v>
      </c>
      <c r="Q81" s="9">
        <f>57796.49</f>
        <v>57796.49</v>
      </c>
    </row>
    <row r="82" spans="1:17" ht="45" customHeight="1" x14ac:dyDescent="0.25">
      <c r="A82" s="4" t="s">
        <v>20</v>
      </c>
      <c r="B82" s="5" t="s">
        <v>236</v>
      </c>
      <c r="C82" s="4" t="s">
        <v>30</v>
      </c>
      <c r="D82" s="4" t="s">
        <v>237</v>
      </c>
      <c r="E82" s="4" t="s">
        <v>238</v>
      </c>
      <c r="F82" s="6">
        <f>538.37</f>
        <v>538.37</v>
      </c>
      <c r="G82" s="4" t="s">
        <v>33</v>
      </c>
      <c r="H82" s="7">
        <v>53.83</v>
      </c>
      <c r="I82" s="7">
        <v>53.83</v>
      </c>
      <c r="J82" s="8">
        <v>0.25</v>
      </c>
      <c r="K82" s="9">
        <f>67.29</f>
        <v>67.290000000000006</v>
      </c>
      <c r="L82" s="9">
        <f>36226.92</f>
        <v>36226.92</v>
      </c>
      <c r="M82" s="4"/>
      <c r="N82" s="10">
        <v>1</v>
      </c>
      <c r="O82" s="4" t="s">
        <v>26</v>
      </c>
      <c r="P82" s="11">
        <v>538.37</v>
      </c>
      <c r="Q82" s="9">
        <f>36226.92</f>
        <v>36226.92</v>
      </c>
    </row>
    <row r="83" spans="1:17" ht="45" customHeight="1" x14ac:dyDescent="0.25">
      <c r="A83" s="4" t="s">
        <v>20</v>
      </c>
      <c r="B83" s="5" t="s">
        <v>239</v>
      </c>
      <c r="C83" s="4" t="s">
        <v>30</v>
      </c>
      <c r="D83" s="4" t="s">
        <v>240</v>
      </c>
      <c r="E83" s="4" t="s">
        <v>241</v>
      </c>
      <c r="F83" s="6">
        <f>11.62</f>
        <v>11.62</v>
      </c>
      <c r="G83" s="4" t="s">
        <v>33</v>
      </c>
      <c r="H83" s="7">
        <v>100.01</v>
      </c>
      <c r="I83" s="7">
        <v>100.01</v>
      </c>
      <c r="J83" s="8">
        <v>0.25</v>
      </c>
      <c r="K83" s="9">
        <f>125.01</f>
        <v>125.01</v>
      </c>
      <c r="L83" s="9">
        <f>1452.62</f>
        <v>1452.62</v>
      </c>
      <c r="M83" s="4"/>
      <c r="N83" s="10">
        <v>1</v>
      </c>
      <c r="O83" s="4" t="s">
        <v>26</v>
      </c>
      <c r="P83" s="11">
        <v>11.62</v>
      </c>
      <c r="Q83" s="9">
        <f>1452.62</f>
        <v>1452.62</v>
      </c>
    </row>
    <row r="84" spans="1:17" ht="45" customHeight="1" x14ac:dyDescent="0.25">
      <c r="A84" s="4" t="s">
        <v>20</v>
      </c>
      <c r="B84" s="5" t="s">
        <v>242</v>
      </c>
      <c r="C84" s="4" t="s">
        <v>30</v>
      </c>
      <c r="D84" s="4" t="s">
        <v>243</v>
      </c>
      <c r="E84" s="4" t="s">
        <v>244</v>
      </c>
      <c r="F84" s="6">
        <f>9.56</f>
        <v>9.56</v>
      </c>
      <c r="G84" s="4" t="s">
        <v>33</v>
      </c>
      <c r="H84" s="7">
        <v>143.87</v>
      </c>
      <c r="I84" s="7">
        <v>143.87</v>
      </c>
      <c r="J84" s="8">
        <v>0.25</v>
      </c>
      <c r="K84" s="9">
        <f>179.84</f>
        <v>179.84</v>
      </c>
      <c r="L84" s="9">
        <f>1719.27</f>
        <v>1719.27</v>
      </c>
      <c r="M84" s="4"/>
      <c r="N84" s="10">
        <v>1</v>
      </c>
      <c r="O84" s="4" t="s">
        <v>26</v>
      </c>
      <c r="P84" s="11">
        <v>9.56</v>
      </c>
      <c r="Q84" s="9">
        <f>1719.27</f>
        <v>1719.27</v>
      </c>
    </row>
    <row r="85" spans="1:17" ht="45" customHeight="1" x14ac:dyDescent="0.25">
      <c r="A85" s="4" t="s">
        <v>20</v>
      </c>
      <c r="B85" s="5" t="s">
        <v>245</v>
      </c>
      <c r="C85" s="4" t="s">
        <v>30</v>
      </c>
      <c r="D85" s="4" t="s">
        <v>246</v>
      </c>
      <c r="E85" s="4" t="s">
        <v>247</v>
      </c>
      <c r="F85" s="6">
        <f>386.56</f>
        <v>386.56</v>
      </c>
      <c r="G85" s="4" t="s">
        <v>46</v>
      </c>
      <c r="H85" s="7">
        <v>12.44</v>
      </c>
      <c r="I85" s="7">
        <v>12.44</v>
      </c>
      <c r="J85" s="8">
        <v>0.25</v>
      </c>
      <c r="K85" s="9">
        <f>15.55</f>
        <v>15.55</v>
      </c>
      <c r="L85" s="9">
        <f>6011.01</f>
        <v>6011.01</v>
      </c>
      <c r="M85" s="4"/>
      <c r="N85" s="10">
        <v>1</v>
      </c>
      <c r="O85" s="4" t="s">
        <v>26</v>
      </c>
      <c r="P85" s="11">
        <v>386.56</v>
      </c>
      <c r="Q85" s="9">
        <f>6011.01</f>
        <v>6011.01</v>
      </c>
    </row>
    <row r="86" spans="1:17" ht="45" customHeight="1" x14ac:dyDescent="0.25">
      <c r="A86" s="4" t="s">
        <v>20</v>
      </c>
      <c r="B86" s="5" t="s">
        <v>248</v>
      </c>
      <c r="C86" s="4" t="s">
        <v>30</v>
      </c>
      <c r="D86" s="4" t="s">
        <v>249</v>
      </c>
      <c r="E86" s="4" t="s">
        <v>250</v>
      </c>
      <c r="F86" s="6">
        <f>36.18</f>
        <v>36.18</v>
      </c>
      <c r="G86" s="4" t="s">
        <v>46</v>
      </c>
      <c r="H86" s="7">
        <v>53.56</v>
      </c>
      <c r="I86" s="7">
        <v>53.56</v>
      </c>
      <c r="J86" s="8">
        <v>0.25</v>
      </c>
      <c r="K86" s="9">
        <f>66.95</f>
        <v>66.95</v>
      </c>
      <c r="L86" s="9">
        <f>2422.25</f>
        <v>2422.25</v>
      </c>
      <c r="M86" s="4"/>
      <c r="N86" s="10">
        <v>1</v>
      </c>
      <c r="O86" s="4" t="s">
        <v>26</v>
      </c>
      <c r="P86" s="11">
        <v>36.18</v>
      </c>
      <c r="Q86" s="9">
        <f>2422.25</f>
        <v>2422.25</v>
      </c>
    </row>
    <row r="87" spans="1:17" ht="45" customHeight="1" x14ac:dyDescent="0.25">
      <c r="A87" s="4" t="s">
        <v>20</v>
      </c>
      <c r="B87" s="5" t="s">
        <v>251</v>
      </c>
      <c r="C87" s="4" t="s">
        <v>30</v>
      </c>
      <c r="D87" s="4" t="s">
        <v>252</v>
      </c>
      <c r="E87" s="4" t="s">
        <v>253</v>
      </c>
      <c r="F87" s="6">
        <f>1</f>
        <v>1</v>
      </c>
      <c r="G87" s="4" t="s">
        <v>46</v>
      </c>
      <c r="H87" s="7">
        <v>65.81</v>
      </c>
      <c r="I87" s="7">
        <v>65.81</v>
      </c>
      <c r="J87" s="8">
        <v>0.25</v>
      </c>
      <c r="K87" s="9">
        <f>82.26</f>
        <v>82.26</v>
      </c>
      <c r="L87" s="9">
        <f>82.26</f>
        <v>82.26</v>
      </c>
      <c r="M87" s="4"/>
      <c r="N87" s="10">
        <v>1</v>
      </c>
      <c r="O87" s="4" t="s">
        <v>26</v>
      </c>
      <c r="P87" s="11">
        <v>1</v>
      </c>
      <c r="Q87" s="9">
        <f>82.26</f>
        <v>82.26</v>
      </c>
    </row>
    <row r="88" spans="1:17" ht="45" customHeight="1" x14ac:dyDescent="0.25">
      <c r="A88" s="4" t="s">
        <v>20</v>
      </c>
      <c r="B88" s="5" t="s">
        <v>254</v>
      </c>
      <c r="C88" s="4" t="s">
        <v>30</v>
      </c>
      <c r="D88" s="4" t="s">
        <v>255</v>
      </c>
      <c r="E88" s="4" t="s">
        <v>256</v>
      </c>
      <c r="F88" s="6">
        <f>48.5</f>
        <v>48.5</v>
      </c>
      <c r="G88" s="4" t="s">
        <v>46</v>
      </c>
      <c r="H88" s="7">
        <v>41.65</v>
      </c>
      <c r="I88" s="7">
        <v>41.65</v>
      </c>
      <c r="J88" s="8">
        <v>0.25</v>
      </c>
      <c r="K88" s="9">
        <f>52.06</f>
        <v>52.06</v>
      </c>
      <c r="L88" s="9">
        <f>2524.91</f>
        <v>2524.91</v>
      </c>
      <c r="M88" s="4"/>
      <c r="N88" s="10">
        <v>1</v>
      </c>
      <c r="O88" s="4" t="s">
        <v>26</v>
      </c>
      <c r="P88" s="11">
        <v>48.5</v>
      </c>
      <c r="Q88" s="9">
        <f>2524.91</f>
        <v>2524.91</v>
      </c>
    </row>
    <row r="89" spans="1:17" ht="45" customHeight="1" x14ac:dyDescent="0.25">
      <c r="A89" s="4" t="s">
        <v>20</v>
      </c>
      <c r="B89" s="5" t="s">
        <v>257</v>
      </c>
      <c r="C89" s="4" t="s">
        <v>30</v>
      </c>
      <c r="D89" s="4" t="s">
        <v>258</v>
      </c>
      <c r="E89" s="4" t="s">
        <v>259</v>
      </c>
      <c r="F89" s="6">
        <f>35.25</f>
        <v>35.25</v>
      </c>
      <c r="G89" s="4" t="s">
        <v>46</v>
      </c>
      <c r="H89" s="7">
        <v>50.11</v>
      </c>
      <c r="I89" s="7">
        <v>50.11</v>
      </c>
      <c r="J89" s="8">
        <v>0.25</v>
      </c>
      <c r="K89" s="9">
        <f>62.64</f>
        <v>62.64</v>
      </c>
      <c r="L89" s="9">
        <f>2208.06</f>
        <v>2208.06</v>
      </c>
      <c r="M89" s="4"/>
      <c r="N89" s="10">
        <v>1</v>
      </c>
      <c r="O89" s="4" t="s">
        <v>26</v>
      </c>
      <c r="P89" s="11">
        <v>35.25</v>
      </c>
      <c r="Q89" s="9">
        <f>2208.06</f>
        <v>2208.06</v>
      </c>
    </row>
    <row r="90" spans="1:17" ht="45" customHeight="1" x14ac:dyDescent="0.25">
      <c r="A90" s="4" t="s">
        <v>20</v>
      </c>
      <c r="B90" s="5" t="s">
        <v>260</v>
      </c>
      <c r="C90" s="4" t="s">
        <v>30</v>
      </c>
      <c r="D90" s="4" t="s">
        <v>261</v>
      </c>
      <c r="E90" s="4" t="s">
        <v>262</v>
      </c>
      <c r="F90" s="6">
        <f>8.83</f>
        <v>8.83</v>
      </c>
      <c r="G90" s="4" t="s">
        <v>33</v>
      </c>
      <c r="H90" s="7">
        <v>938.94</v>
      </c>
      <c r="I90" s="7">
        <v>938.94</v>
      </c>
      <c r="J90" s="8">
        <v>0.25</v>
      </c>
      <c r="K90" s="9">
        <f>1173.68</f>
        <v>1173.68</v>
      </c>
      <c r="L90" s="9">
        <f>10363.59</f>
        <v>10363.59</v>
      </c>
      <c r="M90" s="4"/>
      <c r="N90" s="10">
        <v>1</v>
      </c>
      <c r="O90" s="4" t="s">
        <v>26</v>
      </c>
      <c r="P90" s="11">
        <v>8.83</v>
      </c>
      <c r="Q90" s="9">
        <f>10363.59</f>
        <v>10363.59</v>
      </c>
    </row>
    <row r="91" spans="1:17" ht="45" customHeight="1" x14ac:dyDescent="0.25">
      <c r="A91" s="4" t="s">
        <v>20</v>
      </c>
      <c r="B91" s="5" t="s">
        <v>263</v>
      </c>
      <c r="C91" s="4" t="s">
        <v>30</v>
      </c>
      <c r="D91" s="4" t="s">
        <v>264</v>
      </c>
      <c r="E91" s="4" t="s">
        <v>265</v>
      </c>
      <c r="F91" s="6">
        <f>5.22</f>
        <v>5.22</v>
      </c>
      <c r="G91" s="4" t="s">
        <v>33</v>
      </c>
      <c r="H91" s="7">
        <v>438.92</v>
      </c>
      <c r="I91" s="7">
        <v>438.92</v>
      </c>
      <c r="J91" s="8">
        <v>0.25</v>
      </c>
      <c r="K91" s="9">
        <f>548.65</f>
        <v>548.65</v>
      </c>
      <c r="L91" s="9">
        <f>2863.95</f>
        <v>2863.95</v>
      </c>
      <c r="M91" s="4"/>
      <c r="N91" s="10">
        <v>1</v>
      </c>
      <c r="O91" s="4" t="s">
        <v>26</v>
      </c>
      <c r="P91" s="11">
        <v>5.22</v>
      </c>
      <c r="Q91" s="9">
        <f>2863.95</f>
        <v>2863.95</v>
      </c>
    </row>
    <row r="92" spans="1:17" ht="45" customHeight="1" x14ac:dyDescent="0.25">
      <c r="A92" s="4" t="s">
        <v>17</v>
      </c>
      <c r="B92" s="5" t="s">
        <v>266</v>
      </c>
      <c r="C92" s="4"/>
      <c r="D92" s="4"/>
      <c r="E92" s="4" t="s">
        <v>267</v>
      </c>
      <c r="F92" s="6"/>
      <c r="G92" s="4"/>
      <c r="H92" s="7"/>
      <c r="I92" s="7"/>
      <c r="J92" s="8"/>
      <c r="K92" s="9"/>
      <c r="L92" s="9">
        <f>408389.18</f>
        <v>408389.18</v>
      </c>
      <c r="M92" s="4"/>
      <c r="N92" s="10"/>
      <c r="O92" s="4"/>
      <c r="P92" s="11"/>
      <c r="Q92" s="9"/>
    </row>
    <row r="93" spans="1:17" ht="45" customHeight="1" x14ac:dyDescent="0.25">
      <c r="A93" s="4" t="s">
        <v>20</v>
      </c>
      <c r="B93" s="5" t="s">
        <v>268</v>
      </c>
      <c r="C93" s="4" t="s">
        <v>22</v>
      </c>
      <c r="D93" s="4" t="s">
        <v>269</v>
      </c>
      <c r="E93" s="4" t="s">
        <v>270</v>
      </c>
      <c r="F93" s="6">
        <f>9</f>
        <v>9</v>
      </c>
      <c r="G93" s="4" t="s">
        <v>25</v>
      </c>
      <c r="H93" s="7">
        <v>1517.41</v>
      </c>
      <c r="I93" s="7">
        <v>1517.41</v>
      </c>
      <c r="J93" s="8">
        <v>0.25</v>
      </c>
      <c r="K93" s="9">
        <f>1896.76</f>
        <v>1896.76</v>
      </c>
      <c r="L93" s="9">
        <f>17070.84</f>
        <v>17070.84</v>
      </c>
      <c r="M93" s="4"/>
      <c r="N93" s="10">
        <v>1</v>
      </c>
      <c r="O93" s="4" t="s">
        <v>26</v>
      </c>
      <c r="P93" s="11">
        <v>9</v>
      </c>
      <c r="Q93" s="9">
        <f>17070.84</f>
        <v>17070.84</v>
      </c>
    </row>
    <row r="94" spans="1:17" ht="45" customHeight="1" x14ac:dyDescent="0.25">
      <c r="A94" s="4" t="s">
        <v>20</v>
      </c>
      <c r="B94" s="5" t="s">
        <v>271</v>
      </c>
      <c r="C94" s="4" t="s">
        <v>22</v>
      </c>
      <c r="D94" s="4" t="s">
        <v>272</v>
      </c>
      <c r="E94" s="4" t="s">
        <v>273</v>
      </c>
      <c r="F94" s="6">
        <f>3</f>
        <v>3</v>
      </c>
      <c r="G94" s="4" t="s">
        <v>25</v>
      </c>
      <c r="H94" s="7">
        <v>1928.06</v>
      </c>
      <c r="I94" s="7">
        <v>1928.06</v>
      </c>
      <c r="J94" s="8">
        <v>0.25</v>
      </c>
      <c r="K94" s="9">
        <f>2410.08</f>
        <v>2410.08</v>
      </c>
      <c r="L94" s="9">
        <f>7230.24</f>
        <v>7230.24</v>
      </c>
      <c r="M94" s="4"/>
      <c r="N94" s="10">
        <v>1</v>
      </c>
      <c r="O94" s="4" t="s">
        <v>26</v>
      </c>
      <c r="P94" s="11">
        <v>3</v>
      </c>
      <c r="Q94" s="9">
        <f>7230.24</f>
        <v>7230.24</v>
      </c>
    </row>
    <row r="95" spans="1:17" ht="45" customHeight="1" x14ac:dyDescent="0.25">
      <c r="A95" s="4" t="s">
        <v>20</v>
      </c>
      <c r="B95" s="5" t="s">
        <v>274</v>
      </c>
      <c r="C95" s="4" t="s">
        <v>22</v>
      </c>
      <c r="D95" s="4" t="s">
        <v>275</v>
      </c>
      <c r="E95" s="4" t="s">
        <v>276</v>
      </c>
      <c r="F95" s="6">
        <f>3</f>
        <v>3</v>
      </c>
      <c r="G95" s="4" t="s">
        <v>25</v>
      </c>
      <c r="H95" s="7">
        <v>1517.41</v>
      </c>
      <c r="I95" s="7">
        <v>1517.41</v>
      </c>
      <c r="J95" s="8">
        <v>0.25</v>
      </c>
      <c r="K95" s="9">
        <f>1896.76</f>
        <v>1896.76</v>
      </c>
      <c r="L95" s="9">
        <f>5690.28</f>
        <v>5690.28</v>
      </c>
      <c r="M95" s="4"/>
      <c r="N95" s="10">
        <v>1</v>
      </c>
      <c r="O95" s="4" t="s">
        <v>26</v>
      </c>
      <c r="P95" s="11">
        <v>3</v>
      </c>
      <c r="Q95" s="9">
        <f>5690.28</f>
        <v>5690.28</v>
      </c>
    </row>
    <row r="96" spans="1:17" ht="45" customHeight="1" x14ac:dyDescent="0.25">
      <c r="A96" s="4" t="s">
        <v>20</v>
      </c>
      <c r="B96" s="5" t="s">
        <v>277</v>
      </c>
      <c r="C96" s="4" t="s">
        <v>22</v>
      </c>
      <c r="D96" s="4" t="s">
        <v>278</v>
      </c>
      <c r="E96" s="4" t="s">
        <v>279</v>
      </c>
      <c r="F96" s="6">
        <f>5</f>
        <v>5</v>
      </c>
      <c r="G96" s="4" t="s">
        <v>25</v>
      </c>
      <c r="H96" s="7">
        <v>1928.06</v>
      </c>
      <c r="I96" s="7">
        <v>1928.06</v>
      </c>
      <c r="J96" s="8">
        <v>0.25</v>
      </c>
      <c r="K96" s="9">
        <f>2410.08</f>
        <v>2410.08</v>
      </c>
      <c r="L96" s="9">
        <f>12050.4</f>
        <v>12050.4</v>
      </c>
      <c r="M96" s="4"/>
      <c r="N96" s="10">
        <v>1</v>
      </c>
      <c r="O96" s="4" t="s">
        <v>26</v>
      </c>
      <c r="P96" s="11">
        <v>5</v>
      </c>
      <c r="Q96" s="9">
        <f>12050.4</f>
        <v>12050.4</v>
      </c>
    </row>
    <row r="97" spans="1:17" ht="45" customHeight="1" x14ac:dyDescent="0.25">
      <c r="A97" s="4" t="s">
        <v>20</v>
      </c>
      <c r="B97" s="5" t="s">
        <v>280</v>
      </c>
      <c r="C97" s="4" t="s">
        <v>22</v>
      </c>
      <c r="D97" s="4" t="s">
        <v>281</v>
      </c>
      <c r="E97" s="4" t="s">
        <v>282</v>
      </c>
      <c r="F97" s="6">
        <f>8</f>
        <v>8</v>
      </c>
      <c r="G97" s="4" t="s">
        <v>25</v>
      </c>
      <c r="H97" s="7">
        <v>377.3</v>
      </c>
      <c r="I97" s="7">
        <v>377.29</v>
      </c>
      <c r="J97" s="8">
        <v>0.25</v>
      </c>
      <c r="K97" s="9">
        <f>471.61</f>
        <v>471.61</v>
      </c>
      <c r="L97" s="9">
        <f>3772.88</f>
        <v>3772.88</v>
      </c>
      <c r="M97" s="4"/>
      <c r="N97" s="10">
        <v>1</v>
      </c>
      <c r="O97" s="4" t="s">
        <v>26</v>
      </c>
      <c r="P97" s="11">
        <v>8</v>
      </c>
      <c r="Q97" s="9">
        <f>3772.88</f>
        <v>3772.88</v>
      </c>
    </row>
    <row r="98" spans="1:17" ht="45" customHeight="1" x14ac:dyDescent="0.25">
      <c r="A98" s="4" t="s">
        <v>20</v>
      </c>
      <c r="B98" s="5" t="s">
        <v>283</v>
      </c>
      <c r="C98" s="4" t="s">
        <v>22</v>
      </c>
      <c r="D98" s="4" t="s">
        <v>284</v>
      </c>
      <c r="E98" s="4" t="s">
        <v>285</v>
      </c>
      <c r="F98" s="6">
        <f>1.09</f>
        <v>1.0900000000000001</v>
      </c>
      <c r="G98" s="4" t="s">
        <v>33</v>
      </c>
      <c r="H98" s="7">
        <v>183.47</v>
      </c>
      <c r="I98" s="7">
        <v>183.45</v>
      </c>
      <c r="J98" s="8">
        <v>0.25</v>
      </c>
      <c r="K98" s="9">
        <f>229.31</f>
        <v>229.31</v>
      </c>
      <c r="L98" s="9">
        <f>249.95</f>
        <v>249.95</v>
      </c>
      <c r="M98" s="4"/>
      <c r="N98" s="10">
        <v>1</v>
      </c>
      <c r="O98" s="4" t="s">
        <v>26</v>
      </c>
      <c r="P98" s="11">
        <v>1.0900000000000001</v>
      </c>
      <c r="Q98" s="9">
        <f>249.95</f>
        <v>249.95</v>
      </c>
    </row>
    <row r="99" spans="1:17" ht="45" customHeight="1" x14ac:dyDescent="0.25">
      <c r="A99" s="4" t="s">
        <v>20</v>
      </c>
      <c r="B99" s="5" t="s">
        <v>286</v>
      </c>
      <c r="C99" s="4" t="s">
        <v>30</v>
      </c>
      <c r="D99" s="4" t="s">
        <v>287</v>
      </c>
      <c r="E99" s="4" t="s">
        <v>288</v>
      </c>
      <c r="F99" s="6">
        <f>8</f>
        <v>8</v>
      </c>
      <c r="G99" s="4" t="s">
        <v>25</v>
      </c>
      <c r="H99" s="7">
        <v>77.81</v>
      </c>
      <c r="I99" s="7">
        <v>77.81</v>
      </c>
      <c r="J99" s="8">
        <v>0.25</v>
      </c>
      <c r="K99" s="9">
        <f>97.26</f>
        <v>97.26</v>
      </c>
      <c r="L99" s="9">
        <f>778.08</f>
        <v>778.08</v>
      </c>
      <c r="M99" s="4"/>
      <c r="N99" s="10">
        <v>1</v>
      </c>
      <c r="O99" s="4" t="s">
        <v>26</v>
      </c>
      <c r="P99" s="11">
        <v>8</v>
      </c>
      <c r="Q99" s="9">
        <f>778.08</f>
        <v>778.08</v>
      </c>
    </row>
    <row r="100" spans="1:17" ht="45" customHeight="1" x14ac:dyDescent="0.25">
      <c r="A100" s="4" t="s">
        <v>20</v>
      </c>
      <c r="B100" s="5" t="s">
        <v>289</v>
      </c>
      <c r="C100" s="4" t="s">
        <v>30</v>
      </c>
      <c r="D100" s="4" t="s">
        <v>290</v>
      </c>
      <c r="E100" s="4" t="s">
        <v>291</v>
      </c>
      <c r="F100" s="6">
        <f>3</f>
        <v>3</v>
      </c>
      <c r="G100" s="4" t="s">
        <v>25</v>
      </c>
      <c r="H100" s="7">
        <v>405.46</v>
      </c>
      <c r="I100" s="7">
        <v>405.46</v>
      </c>
      <c r="J100" s="8">
        <v>0.25</v>
      </c>
      <c r="K100" s="9">
        <f>506.83</f>
        <v>506.83</v>
      </c>
      <c r="L100" s="9">
        <f>1520.49</f>
        <v>1520.49</v>
      </c>
      <c r="M100" s="4"/>
      <c r="N100" s="10">
        <v>1</v>
      </c>
      <c r="O100" s="4" t="s">
        <v>26</v>
      </c>
      <c r="P100" s="11">
        <v>3</v>
      </c>
      <c r="Q100" s="9">
        <f>1520.49</f>
        <v>1520.49</v>
      </c>
    </row>
    <row r="101" spans="1:17" ht="45" customHeight="1" x14ac:dyDescent="0.25">
      <c r="A101" s="4" t="s">
        <v>20</v>
      </c>
      <c r="B101" s="5" t="s">
        <v>292</v>
      </c>
      <c r="C101" s="4" t="s">
        <v>22</v>
      </c>
      <c r="D101" s="4" t="s">
        <v>293</v>
      </c>
      <c r="E101" s="4" t="s">
        <v>294</v>
      </c>
      <c r="F101" s="6">
        <f>10.88</f>
        <v>10.88</v>
      </c>
      <c r="G101" s="4" t="s">
        <v>33</v>
      </c>
      <c r="H101" s="7">
        <v>215.76</v>
      </c>
      <c r="I101" s="7">
        <v>215.75</v>
      </c>
      <c r="J101" s="8">
        <v>0.25</v>
      </c>
      <c r="K101" s="9">
        <f>269.69</f>
        <v>269.69</v>
      </c>
      <c r="L101" s="9">
        <f>2934.23</f>
        <v>2934.23</v>
      </c>
      <c r="M101" s="4"/>
      <c r="N101" s="10">
        <v>1</v>
      </c>
      <c r="O101" s="4" t="s">
        <v>26</v>
      </c>
      <c r="P101" s="11">
        <v>10.88</v>
      </c>
      <c r="Q101" s="9">
        <f>2934.23</f>
        <v>2934.23</v>
      </c>
    </row>
    <row r="102" spans="1:17" ht="45" customHeight="1" x14ac:dyDescent="0.25">
      <c r="A102" s="4" t="s">
        <v>20</v>
      </c>
      <c r="B102" s="5" t="s">
        <v>295</v>
      </c>
      <c r="C102" s="4" t="s">
        <v>30</v>
      </c>
      <c r="D102" s="4" t="s">
        <v>296</v>
      </c>
      <c r="E102" s="4" t="s">
        <v>297</v>
      </c>
      <c r="F102" s="6">
        <f>121.6</f>
        <v>121.6</v>
      </c>
      <c r="G102" s="4" t="s">
        <v>33</v>
      </c>
      <c r="H102" s="7">
        <v>18.399999999999999</v>
      </c>
      <c r="I102" s="7">
        <v>18.399999999999999</v>
      </c>
      <c r="J102" s="8">
        <v>0.25</v>
      </c>
      <c r="K102" s="9">
        <f>23</f>
        <v>23</v>
      </c>
      <c r="L102" s="9">
        <f>2796.8</f>
        <v>2796.8</v>
      </c>
      <c r="M102" s="4"/>
      <c r="N102" s="10">
        <v>1</v>
      </c>
      <c r="O102" s="4" t="s">
        <v>26</v>
      </c>
      <c r="P102" s="11">
        <v>121.6</v>
      </c>
      <c r="Q102" s="9">
        <f>2796.8</f>
        <v>2796.8</v>
      </c>
    </row>
    <row r="103" spans="1:17" ht="45" customHeight="1" x14ac:dyDescent="0.25">
      <c r="A103" s="4" t="s">
        <v>20</v>
      </c>
      <c r="B103" s="5" t="s">
        <v>298</v>
      </c>
      <c r="C103" s="4" t="s">
        <v>22</v>
      </c>
      <c r="D103" s="4" t="s">
        <v>299</v>
      </c>
      <c r="E103" s="4" t="s">
        <v>300</v>
      </c>
      <c r="F103" s="6">
        <f>1</f>
        <v>1</v>
      </c>
      <c r="G103" s="4" t="s">
        <v>25</v>
      </c>
      <c r="H103" s="7">
        <v>1169.6400000000001</v>
      </c>
      <c r="I103" s="7">
        <v>1169.6099999999999</v>
      </c>
      <c r="J103" s="8">
        <v>0.25</v>
      </c>
      <c r="K103" s="9">
        <f>1462.01</f>
        <v>1462.01</v>
      </c>
      <c r="L103" s="9">
        <f>1462.01</f>
        <v>1462.01</v>
      </c>
      <c r="M103" s="4"/>
      <c r="N103" s="10">
        <v>1</v>
      </c>
      <c r="O103" s="4" t="s">
        <v>26</v>
      </c>
      <c r="P103" s="11">
        <v>1</v>
      </c>
      <c r="Q103" s="9">
        <f>1462.01</f>
        <v>1462.01</v>
      </c>
    </row>
    <row r="104" spans="1:17" ht="45" customHeight="1" x14ac:dyDescent="0.25">
      <c r="A104" s="4" t="s">
        <v>20</v>
      </c>
      <c r="B104" s="5" t="s">
        <v>301</v>
      </c>
      <c r="C104" s="4" t="s">
        <v>22</v>
      </c>
      <c r="D104" s="4" t="s">
        <v>302</v>
      </c>
      <c r="E104" s="4" t="s">
        <v>303</v>
      </c>
      <c r="F104" s="6">
        <f>3.36</f>
        <v>3.36</v>
      </c>
      <c r="G104" s="4" t="s">
        <v>33</v>
      </c>
      <c r="H104" s="7">
        <v>890.61</v>
      </c>
      <c r="I104" s="7">
        <v>890.6</v>
      </c>
      <c r="J104" s="8">
        <v>0.25</v>
      </c>
      <c r="K104" s="9">
        <f>1113.25</f>
        <v>1113.25</v>
      </c>
      <c r="L104" s="9">
        <f>3740.52</f>
        <v>3740.52</v>
      </c>
      <c r="M104" s="4"/>
      <c r="N104" s="10">
        <v>1</v>
      </c>
      <c r="O104" s="4" t="s">
        <v>26</v>
      </c>
      <c r="P104" s="11">
        <v>3.36</v>
      </c>
      <c r="Q104" s="9">
        <f>3740.52</f>
        <v>3740.52</v>
      </c>
    </row>
    <row r="105" spans="1:17" ht="45" customHeight="1" x14ac:dyDescent="0.25">
      <c r="A105" s="4" t="s">
        <v>20</v>
      </c>
      <c r="B105" s="5" t="s">
        <v>304</v>
      </c>
      <c r="C105" s="4" t="s">
        <v>22</v>
      </c>
      <c r="D105" s="4" t="s">
        <v>305</v>
      </c>
      <c r="E105" s="4" t="s">
        <v>306</v>
      </c>
      <c r="F105" s="6">
        <f>3.36</f>
        <v>3.36</v>
      </c>
      <c r="G105" s="4" t="s">
        <v>33</v>
      </c>
      <c r="H105" s="7">
        <v>890.61</v>
      </c>
      <c r="I105" s="7">
        <v>890.6</v>
      </c>
      <c r="J105" s="8">
        <v>0.25</v>
      </c>
      <c r="K105" s="9">
        <f>1113.25</f>
        <v>1113.25</v>
      </c>
      <c r="L105" s="9">
        <f>3740.52</f>
        <v>3740.52</v>
      </c>
      <c r="M105" s="4"/>
      <c r="N105" s="10">
        <v>1</v>
      </c>
      <c r="O105" s="4" t="s">
        <v>26</v>
      </c>
      <c r="P105" s="11">
        <v>3.36</v>
      </c>
      <c r="Q105" s="9">
        <f>3740.52</f>
        <v>3740.52</v>
      </c>
    </row>
    <row r="106" spans="1:17" ht="45" customHeight="1" x14ac:dyDescent="0.25">
      <c r="A106" s="4" t="s">
        <v>20</v>
      </c>
      <c r="B106" s="5" t="s">
        <v>307</v>
      </c>
      <c r="C106" s="4" t="s">
        <v>22</v>
      </c>
      <c r="D106" s="4" t="s">
        <v>308</v>
      </c>
      <c r="E106" s="4" t="s">
        <v>309</v>
      </c>
      <c r="F106" s="6">
        <f>83.48</f>
        <v>83.48</v>
      </c>
      <c r="G106" s="4" t="s">
        <v>33</v>
      </c>
      <c r="H106" s="7">
        <v>654.79</v>
      </c>
      <c r="I106" s="7">
        <v>654.76</v>
      </c>
      <c r="J106" s="8">
        <v>0.25</v>
      </c>
      <c r="K106" s="9">
        <f>818.45</f>
        <v>818.45</v>
      </c>
      <c r="L106" s="9">
        <f>68324.21</f>
        <v>68324.210000000006</v>
      </c>
      <c r="M106" s="4"/>
      <c r="N106" s="10">
        <v>1</v>
      </c>
      <c r="O106" s="4" t="s">
        <v>26</v>
      </c>
      <c r="P106" s="11">
        <v>83.48</v>
      </c>
      <c r="Q106" s="9">
        <f>68324.21</f>
        <v>68324.210000000006</v>
      </c>
    </row>
    <row r="107" spans="1:17" ht="45" customHeight="1" x14ac:dyDescent="0.25">
      <c r="A107" s="4" t="s">
        <v>20</v>
      </c>
      <c r="B107" s="5" t="s">
        <v>310</v>
      </c>
      <c r="C107" s="4" t="s">
        <v>22</v>
      </c>
      <c r="D107" s="4" t="s">
        <v>311</v>
      </c>
      <c r="E107" s="4" t="s">
        <v>312</v>
      </c>
      <c r="F107" s="6">
        <f>5.61</f>
        <v>5.61</v>
      </c>
      <c r="G107" s="4" t="s">
        <v>33</v>
      </c>
      <c r="H107" s="7">
        <v>890.61</v>
      </c>
      <c r="I107" s="7">
        <v>890.6</v>
      </c>
      <c r="J107" s="8">
        <v>0.25</v>
      </c>
      <c r="K107" s="9">
        <f>1113.25</f>
        <v>1113.25</v>
      </c>
      <c r="L107" s="9">
        <f>6245.33</f>
        <v>6245.33</v>
      </c>
      <c r="M107" s="4"/>
      <c r="N107" s="10">
        <v>1</v>
      </c>
      <c r="O107" s="4" t="s">
        <v>26</v>
      </c>
      <c r="P107" s="11">
        <v>5.61</v>
      </c>
      <c r="Q107" s="9">
        <f>6245.33</f>
        <v>6245.33</v>
      </c>
    </row>
    <row r="108" spans="1:17" ht="45" customHeight="1" x14ac:dyDescent="0.25">
      <c r="A108" s="4" t="s">
        <v>20</v>
      </c>
      <c r="B108" s="5" t="s">
        <v>313</v>
      </c>
      <c r="C108" s="4" t="s">
        <v>22</v>
      </c>
      <c r="D108" s="4" t="s">
        <v>314</v>
      </c>
      <c r="E108" s="4" t="s">
        <v>315</v>
      </c>
      <c r="F108" s="6">
        <f>0.88</f>
        <v>0.88</v>
      </c>
      <c r="G108" s="4" t="s">
        <v>33</v>
      </c>
      <c r="H108" s="7">
        <v>820.1</v>
      </c>
      <c r="I108" s="7">
        <v>820.07</v>
      </c>
      <c r="J108" s="8">
        <v>0.25</v>
      </c>
      <c r="K108" s="9">
        <f>1025.09</f>
        <v>1025.0899999999999</v>
      </c>
      <c r="L108" s="9">
        <f>902.08</f>
        <v>902.08</v>
      </c>
      <c r="M108" s="4"/>
      <c r="N108" s="10">
        <v>1</v>
      </c>
      <c r="O108" s="4" t="s">
        <v>26</v>
      </c>
      <c r="P108" s="11">
        <v>0.88</v>
      </c>
      <c r="Q108" s="9">
        <f>902.08</f>
        <v>902.08</v>
      </c>
    </row>
    <row r="109" spans="1:17" ht="45" customHeight="1" x14ac:dyDescent="0.25">
      <c r="A109" s="4" t="s">
        <v>20</v>
      </c>
      <c r="B109" s="5" t="s">
        <v>316</v>
      </c>
      <c r="C109" s="4" t="s">
        <v>22</v>
      </c>
      <c r="D109" s="4" t="s">
        <v>317</v>
      </c>
      <c r="E109" s="4" t="s">
        <v>318</v>
      </c>
      <c r="F109" s="6">
        <f>2.15</f>
        <v>2.15</v>
      </c>
      <c r="G109" s="4" t="s">
        <v>33</v>
      </c>
      <c r="H109" s="7">
        <v>820.1</v>
      </c>
      <c r="I109" s="7">
        <v>820.07</v>
      </c>
      <c r="J109" s="8">
        <v>0.25</v>
      </c>
      <c r="K109" s="9">
        <f>1025.09</f>
        <v>1025.0899999999999</v>
      </c>
      <c r="L109" s="9">
        <f>2203.94</f>
        <v>2203.94</v>
      </c>
      <c r="M109" s="4"/>
      <c r="N109" s="10">
        <v>1</v>
      </c>
      <c r="O109" s="4" t="s">
        <v>26</v>
      </c>
      <c r="P109" s="11">
        <v>2.15</v>
      </c>
      <c r="Q109" s="9">
        <f>2203.94</f>
        <v>2203.94</v>
      </c>
    </row>
    <row r="110" spans="1:17" ht="45" customHeight="1" x14ac:dyDescent="0.25">
      <c r="A110" s="4" t="s">
        <v>20</v>
      </c>
      <c r="B110" s="5" t="s">
        <v>319</v>
      </c>
      <c r="C110" s="4" t="s">
        <v>22</v>
      </c>
      <c r="D110" s="4" t="s">
        <v>320</v>
      </c>
      <c r="E110" s="4" t="s">
        <v>321</v>
      </c>
      <c r="F110" s="6">
        <f>2.73</f>
        <v>2.73</v>
      </c>
      <c r="G110" s="4" t="s">
        <v>33</v>
      </c>
      <c r="H110" s="7">
        <v>820.1</v>
      </c>
      <c r="I110" s="7">
        <v>820.07</v>
      </c>
      <c r="J110" s="8">
        <v>0.25</v>
      </c>
      <c r="K110" s="9">
        <f>1025.09</f>
        <v>1025.0899999999999</v>
      </c>
      <c r="L110" s="9">
        <f>2798.5</f>
        <v>2798.5</v>
      </c>
      <c r="M110" s="4"/>
      <c r="N110" s="10">
        <v>1</v>
      </c>
      <c r="O110" s="4" t="s">
        <v>26</v>
      </c>
      <c r="P110" s="11">
        <v>2.73</v>
      </c>
      <c r="Q110" s="9">
        <f>2798.5</f>
        <v>2798.5</v>
      </c>
    </row>
    <row r="111" spans="1:17" ht="45" customHeight="1" x14ac:dyDescent="0.25">
      <c r="A111" s="4" t="s">
        <v>20</v>
      </c>
      <c r="B111" s="5" t="s">
        <v>322</v>
      </c>
      <c r="C111" s="4" t="s">
        <v>22</v>
      </c>
      <c r="D111" s="4" t="s">
        <v>323</v>
      </c>
      <c r="E111" s="4" t="s">
        <v>324</v>
      </c>
      <c r="F111" s="6">
        <f>2.56</f>
        <v>2.56</v>
      </c>
      <c r="G111" s="4" t="s">
        <v>33</v>
      </c>
      <c r="H111" s="7">
        <v>894.04</v>
      </c>
      <c r="I111" s="7">
        <v>894.03</v>
      </c>
      <c r="J111" s="8">
        <v>0.25</v>
      </c>
      <c r="K111" s="9">
        <f>1117.54</f>
        <v>1117.54</v>
      </c>
      <c r="L111" s="9">
        <f>2860.9</f>
        <v>2860.9</v>
      </c>
      <c r="M111" s="4"/>
      <c r="N111" s="10">
        <v>1</v>
      </c>
      <c r="O111" s="4" t="s">
        <v>26</v>
      </c>
      <c r="P111" s="11">
        <v>2.56</v>
      </c>
      <c r="Q111" s="9">
        <f>2860.9</f>
        <v>2860.9</v>
      </c>
    </row>
    <row r="112" spans="1:17" ht="45" customHeight="1" x14ac:dyDescent="0.25">
      <c r="A112" s="4" t="s">
        <v>20</v>
      </c>
      <c r="B112" s="5" t="s">
        <v>325</v>
      </c>
      <c r="C112" s="4" t="s">
        <v>22</v>
      </c>
      <c r="D112" s="4" t="s">
        <v>326</v>
      </c>
      <c r="E112" s="4" t="s">
        <v>327</v>
      </c>
      <c r="F112" s="6">
        <f>1.05</f>
        <v>1.05</v>
      </c>
      <c r="G112" s="4" t="s">
        <v>33</v>
      </c>
      <c r="H112" s="7">
        <v>820.1</v>
      </c>
      <c r="I112" s="7">
        <v>820.07</v>
      </c>
      <c r="J112" s="8">
        <v>0.25</v>
      </c>
      <c r="K112" s="9">
        <f>1025.09</f>
        <v>1025.0899999999999</v>
      </c>
      <c r="L112" s="9">
        <f>1076.34</f>
        <v>1076.3399999999999</v>
      </c>
      <c r="M112" s="4"/>
      <c r="N112" s="10">
        <v>1</v>
      </c>
      <c r="O112" s="4" t="s">
        <v>26</v>
      </c>
      <c r="P112" s="11">
        <v>1.05</v>
      </c>
      <c r="Q112" s="9">
        <f>1076.34</f>
        <v>1076.3399999999999</v>
      </c>
    </row>
    <row r="113" spans="1:17" ht="45" customHeight="1" x14ac:dyDescent="0.25">
      <c r="A113" s="4" t="s">
        <v>20</v>
      </c>
      <c r="B113" s="5" t="s">
        <v>328</v>
      </c>
      <c r="C113" s="4" t="s">
        <v>22</v>
      </c>
      <c r="D113" s="4" t="s">
        <v>329</v>
      </c>
      <c r="E113" s="4" t="s">
        <v>330</v>
      </c>
      <c r="F113" s="6">
        <f>9.45</f>
        <v>9.4499999999999993</v>
      </c>
      <c r="G113" s="4" t="s">
        <v>33</v>
      </c>
      <c r="H113" s="7">
        <v>820.1</v>
      </c>
      <c r="I113" s="7">
        <v>820.07</v>
      </c>
      <c r="J113" s="8">
        <v>0.25</v>
      </c>
      <c r="K113" s="9">
        <f>1025.09</f>
        <v>1025.0899999999999</v>
      </c>
      <c r="L113" s="9">
        <f>9687.1</f>
        <v>9687.1</v>
      </c>
      <c r="M113" s="4"/>
      <c r="N113" s="10">
        <v>1</v>
      </c>
      <c r="O113" s="4" t="s">
        <v>26</v>
      </c>
      <c r="P113" s="11">
        <v>9.4499999999999993</v>
      </c>
      <c r="Q113" s="9">
        <f>9687.1</f>
        <v>9687.1</v>
      </c>
    </row>
    <row r="114" spans="1:17" ht="45" customHeight="1" x14ac:dyDescent="0.25">
      <c r="A114" s="4" t="s">
        <v>20</v>
      </c>
      <c r="B114" s="5" t="s">
        <v>331</v>
      </c>
      <c r="C114" s="4" t="s">
        <v>22</v>
      </c>
      <c r="D114" s="4" t="s">
        <v>332</v>
      </c>
      <c r="E114" s="4" t="s">
        <v>333</v>
      </c>
      <c r="F114" s="6">
        <f>8.4</f>
        <v>8.4</v>
      </c>
      <c r="G114" s="4" t="s">
        <v>33</v>
      </c>
      <c r="H114" s="7">
        <v>820.1</v>
      </c>
      <c r="I114" s="7">
        <v>820.07</v>
      </c>
      <c r="J114" s="8">
        <v>0.25</v>
      </c>
      <c r="K114" s="9">
        <f>1025.09</f>
        <v>1025.0899999999999</v>
      </c>
      <c r="L114" s="9">
        <f>8610.76</f>
        <v>8610.76</v>
      </c>
      <c r="M114" s="4"/>
      <c r="N114" s="10">
        <v>1</v>
      </c>
      <c r="O114" s="4" t="s">
        <v>26</v>
      </c>
      <c r="P114" s="11">
        <v>8.4</v>
      </c>
      <c r="Q114" s="9">
        <f>8610.76</f>
        <v>8610.76</v>
      </c>
    </row>
    <row r="115" spans="1:17" ht="45" customHeight="1" x14ac:dyDescent="0.25">
      <c r="A115" s="4" t="s">
        <v>20</v>
      </c>
      <c r="B115" s="5" t="s">
        <v>334</v>
      </c>
      <c r="C115" s="4" t="s">
        <v>22</v>
      </c>
      <c r="D115" s="4" t="s">
        <v>335</v>
      </c>
      <c r="E115" s="4" t="s">
        <v>336</v>
      </c>
      <c r="F115" s="6">
        <f>6.3</f>
        <v>6.3</v>
      </c>
      <c r="G115" s="4" t="s">
        <v>33</v>
      </c>
      <c r="H115" s="7">
        <v>820.1</v>
      </c>
      <c r="I115" s="7">
        <v>820.07</v>
      </c>
      <c r="J115" s="8">
        <v>0.25</v>
      </c>
      <c r="K115" s="9">
        <f>1025.09</f>
        <v>1025.0899999999999</v>
      </c>
      <c r="L115" s="9">
        <f>6458.07</f>
        <v>6458.07</v>
      </c>
      <c r="M115" s="4"/>
      <c r="N115" s="10">
        <v>1</v>
      </c>
      <c r="O115" s="4" t="s">
        <v>26</v>
      </c>
      <c r="P115" s="11">
        <v>6.3</v>
      </c>
      <c r="Q115" s="9">
        <f>6458.07</f>
        <v>6458.07</v>
      </c>
    </row>
    <row r="116" spans="1:17" ht="45" customHeight="1" x14ac:dyDescent="0.25">
      <c r="A116" s="4" t="s">
        <v>20</v>
      </c>
      <c r="B116" s="5" t="s">
        <v>337</v>
      </c>
      <c r="C116" s="4" t="s">
        <v>22</v>
      </c>
      <c r="D116" s="4" t="s">
        <v>338</v>
      </c>
      <c r="E116" s="4" t="s">
        <v>339</v>
      </c>
      <c r="F116" s="6">
        <f>1.58</f>
        <v>1.58</v>
      </c>
      <c r="G116" s="4" t="s">
        <v>33</v>
      </c>
      <c r="H116" s="7">
        <v>820.1</v>
      </c>
      <c r="I116" s="7">
        <v>820.07</v>
      </c>
      <c r="J116" s="8">
        <v>0.25</v>
      </c>
      <c r="K116" s="9">
        <f>1025.09</f>
        <v>1025.0899999999999</v>
      </c>
      <c r="L116" s="9">
        <f>1619.64</f>
        <v>1619.64</v>
      </c>
      <c r="M116" s="4"/>
      <c r="N116" s="10">
        <v>1</v>
      </c>
      <c r="O116" s="4" t="s">
        <v>26</v>
      </c>
      <c r="P116" s="11">
        <v>1.58</v>
      </c>
      <c r="Q116" s="9">
        <f>1619.64</f>
        <v>1619.64</v>
      </c>
    </row>
    <row r="117" spans="1:17" ht="45" customHeight="1" x14ac:dyDescent="0.25">
      <c r="A117" s="4" t="s">
        <v>20</v>
      </c>
      <c r="B117" s="5" t="s">
        <v>340</v>
      </c>
      <c r="C117" s="4" t="s">
        <v>22</v>
      </c>
      <c r="D117" s="4" t="s">
        <v>341</v>
      </c>
      <c r="E117" s="4" t="s">
        <v>342</v>
      </c>
      <c r="F117" s="6">
        <f>5.06</f>
        <v>5.0599999999999996</v>
      </c>
      <c r="G117" s="4" t="s">
        <v>33</v>
      </c>
      <c r="H117" s="7">
        <v>820.1</v>
      </c>
      <c r="I117" s="7">
        <v>820.07</v>
      </c>
      <c r="J117" s="8">
        <v>0.25</v>
      </c>
      <c r="K117" s="9">
        <f>1025.09</f>
        <v>1025.0899999999999</v>
      </c>
      <c r="L117" s="9">
        <f>5186.96</f>
        <v>5186.96</v>
      </c>
      <c r="M117" s="4"/>
      <c r="N117" s="10">
        <v>1</v>
      </c>
      <c r="O117" s="4" t="s">
        <v>26</v>
      </c>
      <c r="P117" s="11">
        <v>5.0599999999999996</v>
      </c>
      <c r="Q117" s="9">
        <f>5186.96</f>
        <v>5186.96</v>
      </c>
    </row>
    <row r="118" spans="1:17" ht="45" customHeight="1" x14ac:dyDescent="0.25">
      <c r="A118" s="4" t="s">
        <v>20</v>
      </c>
      <c r="B118" s="5" t="s">
        <v>343</v>
      </c>
      <c r="C118" s="4" t="s">
        <v>22</v>
      </c>
      <c r="D118" s="4" t="s">
        <v>344</v>
      </c>
      <c r="E118" s="4" t="s">
        <v>345</v>
      </c>
      <c r="F118" s="6">
        <f>4.2</f>
        <v>4.2</v>
      </c>
      <c r="G118" s="4" t="s">
        <v>33</v>
      </c>
      <c r="H118" s="7">
        <v>820.1</v>
      </c>
      <c r="I118" s="7">
        <v>820.07</v>
      </c>
      <c r="J118" s="8">
        <v>0.25</v>
      </c>
      <c r="K118" s="9">
        <f>1025.09</f>
        <v>1025.0899999999999</v>
      </c>
      <c r="L118" s="9">
        <f>4305.38</f>
        <v>4305.38</v>
      </c>
      <c r="M118" s="4"/>
      <c r="N118" s="10">
        <v>1</v>
      </c>
      <c r="O118" s="4" t="s">
        <v>26</v>
      </c>
      <c r="P118" s="11">
        <v>4.2</v>
      </c>
      <c r="Q118" s="9">
        <f>4305.38</f>
        <v>4305.38</v>
      </c>
    </row>
    <row r="119" spans="1:17" ht="45" customHeight="1" x14ac:dyDescent="0.25">
      <c r="A119" s="4" t="s">
        <v>20</v>
      </c>
      <c r="B119" s="5" t="s">
        <v>346</v>
      </c>
      <c r="C119" s="4" t="s">
        <v>22</v>
      </c>
      <c r="D119" s="4" t="s">
        <v>347</v>
      </c>
      <c r="E119" s="4" t="s">
        <v>348</v>
      </c>
      <c r="F119" s="6">
        <f>16.8</f>
        <v>16.8</v>
      </c>
      <c r="G119" s="4" t="s">
        <v>33</v>
      </c>
      <c r="H119" s="7">
        <v>820.1</v>
      </c>
      <c r="I119" s="7">
        <v>820.07</v>
      </c>
      <c r="J119" s="8">
        <v>0.25</v>
      </c>
      <c r="K119" s="9">
        <f>1025.09</f>
        <v>1025.0899999999999</v>
      </c>
      <c r="L119" s="9">
        <f>17221.51</f>
        <v>17221.509999999998</v>
      </c>
      <c r="M119" s="4"/>
      <c r="N119" s="10">
        <v>1</v>
      </c>
      <c r="O119" s="4" t="s">
        <v>26</v>
      </c>
      <c r="P119" s="11">
        <v>16.8</v>
      </c>
      <c r="Q119" s="9">
        <f>17221.51</f>
        <v>17221.509999999998</v>
      </c>
    </row>
    <row r="120" spans="1:17" ht="45" customHeight="1" x14ac:dyDescent="0.25">
      <c r="A120" s="4" t="s">
        <v>20</v>
      </c>
      <c r="B120" s="5" t="s">
        <v>349</v>
      </c>
      <c r="C120" s="4" t="s">
        <v>22</v>
      </c>
      <c r="D120" s="4" t="s">
        <v>350</v>
      </c>
      <c r="E120" s="4" t="s">
        <v>351</v>
      </c>
      <c r="F120" s="6">
        <f>0.24</f>
        <v>0.24</v>
      </c>
      <c r="G120" s="4" t="s">
        <v>33</v>
      </c>
      <c r="H120" s="7">
        <v>286.57</v>
      </c>
      <c r="I120" s="7">
        <v>286.56</v>
      </c>
      <c r="J120" s="8">
        <v>0.25</v>
      </c>
      <c r="K120" s="9">
        <f>358.2</f>
        <v>358.2</v>
      </c>
      <c r="L120" s="9">
        <f>85.97</f>
        <v>85.97</v>
      </c>
      <c r="M120" s="4"/>
      <c r="N120" s="10">
        <v>1</v>
      </c>
      <c r="O120" s="4" t="s">
        <v>26</v>
      </c>
      <c r="P120" s="11">
        <v>0.24</v>
      </c>
      <c r="Q120" s="9">
        <f>85.97</f>
        <v>85.97</v>
      </c>
    </row>
    <row r="121" spans="1:17" ht="45" customHeight="1" x14ac:dyDescent="0.25">
      <c r="A121" s="4" t="s">
        <v>20</v>
      </c>
      <c r="B121" s="5" t="s">
        <v>352</v>
      </c>
      <c r="C121" s="4" t="s">
        <v>22</v>
      </c>
      <c r="D121" s="4" t="s">
        <v>353</v>
      </c>
      <c r="E121" s="4" t="s">
        <v>354</v>
      </c>
      <c r="F121" s="6">
        <f>0.48</f>
        <v>0.48</v>
      </c>
      <c r="G121" s="4" t="s">
        <v>33</v>
      </c>
      <c r="H121" s="7">
        <v>286.57</v>
      </c>
      <c r="I121" s="7">
        <v>286.56</v>
      </c>
      <c r="J121" s="8">
        <v>0.25</v>
      </c>
      <c r="K121" s="9">
        <f>358.2</f>
        <v>358.2</v>
      </c>
      <c r="L121" s="9">
        <f>171.94</f>
        <v>171.94</v>
      </c>
      <c r="M121" s="4"/>
      <c r="N121" s="10">
        <v>1</v>
      </c>
      <c r="O121" s="4" t="s">
        <v>26</v>
      </c>
      <c r="P121" s="11">
        <v>0.48</v>
      </c>
      <c r="Q121" s="9">
        <f>171.94</f>
        <v>171.94</v>
      </c>
    </row>
    <row r="122" spans="1:17" ht="45" customHeight="1" x14ac:dyDescent="0.25">
      <c r="A122" s="4" t="s">
        <v>20</v>
      </c>
      <c r="B122" s="5" t="s">
        <v>355</v>
      </c>
      <c r="C122" s="4" t="s">
        <v>22</v>
      </c>
      <c r="D122" s="4" t="s">
        <v>356</v>
      </c>
      <c r="E122" s="4" t="s">
        <v>357</v>
      </c>
      <c r="F122" s="6">
        <f>14.52</f>
        <v>14.52</v>
      </c>
      <c r="G122" s="4" t="s">
        <v>33</v>
      </c>
      <c r="H122" s="7">
        <v>228.93</v>
      </c>
      <c r="I122" s="7">
        <v>228.92</v>
      </c>
      <c r="J122" s="8">
        <v>0.25</v>
      </c>
      <c r="K122" s="9">
        <f>286.15</f>
        <v>286.14999999999998</v>
      </c>
      <c r="L122" s="9">
        <f>4154.9</f>
        <v>4154.8999999999996</v>
      </c>
      <c r="M122" s="4"/>
      <c r="N122" s="10">
        <v>1</v>
      </c>
      <c r="O122" s="4" t="s">
        <v>26</v>
      </c>
      <c r="P122" s="11">
        <v>14.52</v>
      </c>
      <c r="Q122" s="9">
        <f>4154.9</f>
        <v>4154.8999999999996</v>
      </c>
    </row>
    <row r="123" spans="1:17" ht="45" customHeight="1" x14ac:dyDescent="0.25">
      <c r="A123" s="4" t="s">
        <v>20</v>
      </c>
      <c r="B123" s="5" t="s">
        <v>358</v>
      </c>
      <c r="C123" s="4" t="s">
        <v>22</v>
      </c>
      <c r="D123" s="4" t="s">
        <v>359</v>
      </c>
      <c r="E123" s="4" t="s">
        <v>360</v>
      </c>
      <c r="F123" s="6">
        <f>8.51</f>
        <v>8.51</v>
      </c>
      <c r="G123" s="4" t="s">
        <v>33</v>
      </c>
      <c r="H123" s="7">
        <v>917.95</v>
      </c>
      <c r="I123" s="7">
        <v>917.94</v>
      </c>
      <c r="J123" s="8">
        <v>0.25</v>
      </c>
      <c r="K123" s="9">
        <f>1147.43</f>
        <v>1147.43</v>
      </c>
      <c r="L123" s="9">
        <f>9764.63</f>
        <v>9764.6299999999992</v>
      </c>
      <c r="M123" s="4"/>
      <c r="N123" s="10">
        <v>1</v>
      </c>
      <c r="O123" s="4" t="s">
        <v>26</v>
      </c>
      <c r="P123" s="11">
        <v>8.51</v>
      </c>
      <c r="Q123" s="9">
        <f>9764.63</f>
        <v>9764.6299999999992</v>
      </c>
    </row>
    <row r="124" spans="1:17" ht="45" customHeight="1" x14ac:dyDescent="0.25">
      <c r="A124" s="4" t="s">
        <v>20</v>
      </c>
      <c r="B124" s="5" t="s">
        <v>361</v>
      </c>
      <c r="C124" s="4" t="s">
        <v>22</v>
      </c>
      <c r="D124" s="4" t="s">
        <v>362</v>
      </c>
      <c r="E124" s="4" t="s">
        <v>363</v>
      </c>
      <c r="F124" s="6">
        <f>3.08</f>
        <v>3.08</v>
      </c>
      <c r="G124" s="4" t="s">
        <v>33</v>
      </c>
      <c r="H124" s="7">
        <v>884.57</v>
      </c>
      <c r="I124" s="7">
        <v>884.57</v>
      </c>
      <c r="J124" s="8">
        <v>0.25</v>
      </c>
      <c r="K124" s="9">
        <f>1105.71</f>
        <v>1105.71</v>
      </c>
      <c r="L124" s="9">
        <f>3405.59</f>
        <v>3405.59</v>
      </c>
      <c r="M124" s="4"/>
      <c r="N124" s="10">
        <v>1</v>
      </c>
      <c r="O124" s="4" t="s">
        <v>26</v>
      </c>
      <c r="P124" s="11">
        <v>3.08</v>
      </c>
      <c r="Q124" s="9">
        <f>3405.59</f>
        <v>3405.59</v>
      </c>
    </row>
    <row r="125" spans="1:17" ht="45" customHeight="1" x14ac:dyDescent="0.25">
      <c r="A125" s="4" t="s">
        <v>20</v>
      </c>
      <c r="B125" s="5" t="s">
        <v>364</v>
      </c>
      <c r="C125" s="4" t="s">
        <v>22</v>
      </c>
      <c r="D125" s="4" t="s">
        <v>365</v>
      </c>
      <c r="E125" s="4" t="s">
        <v>366</v>
      </c>
      <c r="F125" s="6">
        <f>2.94</f>
        <v>2.94</v>
      </c>
      <c r="G125" s="4" t="s">
        <v>33</v>
      </c>
      <c r="H125" s="7">
        <v>884.26</v>
      </c>
      <c r="I125" s="7">
        <v>884.22</v>
      </c>
      <c r="J125" s="8">
        <v>0.25</v>
      </c>
      <c r="K125" s="9">
        <f>1105.28</f>
        <v>1105.28</v>
      </c>
      <c r="L125" s="9">
        <f>3249.52</f>
        <v>3249.52</v>
      </c>
      <c r="M125" s="4"/>
      <c r="N125" s="10">
        <v>1</v>
      </c>
      <c r="O125" s="4" t="s">
        <v>26</v>
      </c>
      <c r="P125" s="11">
        <v>2.94</v>
      </c>
      <c r="Q125" s="9">
        <f>3249.52</f>
        <v>3249.52</v>
      </c>
    </row>
    <row r="126" spans="1:17" ht="45" customHeight="1" x14ac:dyDescent="0.25">
      <c r="A126" s="4" t="s">
        <v>20</v>
      </c>
      <c r="B126" s="5" t="s">
        <v>367</v>
      </c>
      <c r="C126" s="4" t="s">
        <v>22</v>
      </c>
      <c r="D126" s="4" t="s">
        <v>368</v>
      </c>
      <c r="E126" s="4" t="s">
        <v>369</v>
      </c>
      <c r="F126" s="6">
        <f>73.47</f>
        <v>73.47</v>
      </c>
      <c r="G126" s="4" t="s">
        <v>33</v>
      </c>
      <c r="H126" s="7">
        <v>862.32</v>
      </c>
      <c r="I126" s="7">
        <v>862.32</v>
      </c>
      <c r="J126" s="8">
        <v>0.25</v>
      </c>
      <c r="K126" s="9">
        <f>1077.9</f>
        <v>1077.9000000000001</v>
      </c>
      <c r="L126" s="9">
        <f>79193.31</f>
        <v>79193.31</v>
      </c>
      <c r="M126" s="4"/>
      <c r="N126" s="10">
        <v>1</v>
      </c>
      <c r="O126" s="4" t="s">
        <v>26</v>
      </c>
      <c r="P126" s="11">
        <v>73.47</v>
      </c>
      <c r="Q126" s="9">
        <f>79193.31</f>
        <v>79193.31</v>
      </c>
    </row>
    <row r="127" spans="1:17" ht="45" customHeight="1" x14ac:dyDescent="0.25">
      <c r="A127" s="4" t="s">
        <v>20</v>
      </c>
      <c r="B127" s="5" t="s">
        <v>370</v>
      </c>
      <c r="C127" s="4" t="s">
        <v>22</v>
      </c>
      <c r="D127" s="4" t="s">
        <v>371</v>
      </c>
      <c r="E127" s="4" t="s">
        <v>372</v>
      </c>
      <c r="F127" s="6">
        <f>20.34</f>
        <v>20.34</v>
      </c>
      <c r="G127" s="4" t="s">
        <v>33</v>
      </c>
      <c r="H127" s="7">
        <v>884.57</v>
      </c>
      <c r="I127" s="7">
        <v>884.57</v>
      </c>
      <c r="J127" s="8">
        <v>0.25</v>
      </c>
      <c r="K127" s="9">
        <f>1105.71</f>
        <v>1105.71</v>
      </c>
      <c r="L127" s="9">
        <f>22490.14</f>
        <v>22490.14</v>
      </c>
      <c r="M127" s="4"/>
      <c r="N127" s="10">
        <v>1</v>
      </c>
      <c r="O127" s="4" t="s">
        <v>26</v>
      </c>
      <c r="P127" s="11">
        <v>20.34</v>
      </c>
      <c r="Q127" s="9">
        <f>22490.14</f>
        <v>22490.14</v>
      </c>
    </row>
    <row r="128" spans="1:17" ht="45" customHeight="1" x14ac:dyDescent="0.25">
      <c r="A128" s="4" t="s">
        <v>20</v>
      </c>
      <c r="B128" s="5" t="s">
        <v>373</v>
      </c>
      <c r="C128" s="4" t="s">
        <v>22</v>
      </c>
      <c r="D128" s="4" t="s">
        <v>374</v>
      </c>
      <c r="E128" s="4" t="s">
        <v>375</v>
      </c>
      <c r="F128" s="6">
        <f>25.5</f>
        <v>25.5</v>
      </c>
      <c r="G128" s="4" t="s">
        <v>33</v>
      </c>
      <c r="H128" s="7">
        <v>843.31</v>
      </c>
      <c r="I128" s="7">
        <v>843.31</v>
      </c>
      <c r="J128" s="8">
        <v>0.25</v>
      </c>
      <c r="K128" s="9">
        <f>1054.14</f>
        <v>1054.1400000000001</v>
      </c>
      <c r="L128" s="9">
        <f>26880.57</f>
        <v>26880.57</v>
      </c>
      <c r="M128" s="4"/>
      <c r="N128" s="10">
        <v>1</v>
      </c>
      <c r="O128" s="4" t="s">
        <v>26</v>
      </c>
      <c r="P128" s="11">
        <v>25.5</v>
      </c>
      <c r="Q128" s="9">
        <f>26880.57</f>
        <v>26880.57</v>
      </c>
    </row>
    <row r="129" spans="1:17" ht="45" customHeight="1" x14ac:dyDescent="0.25">
      <c r="A129" s="4" t="s">
        <v>20</v>
      </c>
      <c r="B129" s="5" t="s">
        <v>376</v>
      </c>
      <c r="C129" s="4" t="s">
        <v>22</v>
      </c>
      <c r="D129" s="4" t="s">
        <v>377</v>
      </c>
      <c r="E129" s="4" t="s">
        <v>378</v>
      </c>
      <c r="F129" s="6">
        <f>70.66</f>
        <v>70.66</v>
      </c>
      <c r="G129" s="4" t="s">
        <v>33</v>
      </c>
      <c r="H129" s="7">
        <v>292.24</v>
      </c>
      <c r="I129" s="7">
        <v>292.24</v>
      </c>
      <c r="J129" s="8">
        <v>0.25</v>
      </c>
      <c r="K129" s="9">
        <f>365.3</f>
        <v>365.3</v>
      </c>
      <c r="L129" s="9">
        <f>25812.1</f>
        <v>25812.1</v>
      </c>
      <c r="M129" s="4"/>
      <c r="N129" s="10">
        <v>1</v>
      </c>
      <c r="O129" s="4" t="s">
        <v>26</v>
      </c>
      <c r="P129" s="11">
        <v>70.66</v>
      </c>
      <c r="Q129" s="9">
        <f>25812.1</f>
        <v>25812.1</v>
      </c>
    </row>
    <row r="130" spans="1:17" ht="45" customHeight="1" x14ac:dyDescent="0.25">
      <c r="A130" s="4" t="s">
        <v>20</v>
      </c>
      <c r="B130" s="5" t="s">
        <v>379</v>
      </c>
      <c r="C130" s="4" t="s">
        <v>22</v>
      </c>
      <c r="D130" s="4" t="s">
        <v>380</v>
      </c>
      <c r="E130" s="4" t="s">
        <v>381</v>
      </c>
      <c r="F130" s="6">
        <f>7.77</f>
        <v>7.77</v>
      </c>
      <c r="G130" s="4" t="s">
        <v>33</v>
      </c>
      <c r="H130" s="7">
        <v>1169.98</v>
      </c>
      <c r="I130" s="7">
        <v>1169.98</v>
      </c>
      <c r="J130" s="8">
        <v>0.25</v>
      </c>
      <c r="K130" s="9">
        <f>1462.48</f>
        <v>1462.48</v>
      </c>
      <c r="L130" s="9">
        <f>11363.47</f>
        <v>11363.47</v>
      </c>
      <c r="M130" s="4"/>
      <c r="N130" s="10">
        <v>1</v>
      </c>
      <c r="O130" s="4" t="s">
        <v>26</v>
      </c>
      <c r="P130" s="11">
        <v>7.77</v>
      </c>
      <c r="Q130" s="9">
        <f>11363.47</f>
        <v>11363.47</v>
      </c>
    </row>
    <row r="131" spans="1:17" ht="45" customHeight="1" x14ac:dyDescent="0.25">
      <c r="A131" s="4" t="s">
        <v>20</v>
      </c>
      <c r="B131" s="5" t="s">
        <v>382</v>
      </c>
      <c r="C131" s="4" t="s">
        <v>22</v>
      </c>
      <c r="D131" s="4" t="s">
        <v>383</v>
      </c>
      <c r="E131" s="4" t="s">
        <v>384</v>
      </c>
      <c r="F131" s="6">
        <f>5.6</f>
        <v>5.6</v>
      </c>
      <c r="G131" s="4" t="s">
        <v>33</v>
      </c>
      <c r="H131" s="7">
        <v>1169.98</v>
      </c>
      <c r="I131" s="7">
        <v>1169.98</v>
      </c>
      <c r="J131" s="8">
        <v>0.25</v>
      </c>
      <c r="K131" s="9">
        <f>1462.48</f>
        <v>1462.48</v>
      </c>
      <c r="L131" s="9">
        <f>8189.89</f>
        <v>8189.89</v>
      </c>
      <c r="M131" s="4"/>
      <c r="N131" s="10">
        <v>1</v>
      </c>
      <c r="O131" s="4" t="s">
        <v>26</v>
      </c>
      <c r="P131" s="11">
        <v>5.6</v>
      </c>
      <c r="Q131" s="9">
        <f>8189.89</f>
        <v>8189.89</v>
      </c>
    </row>
    <row r="132" spans="1:17" ht="45" customHeight="1" x14ac:dyDescent="0.25">
      <c r="A132" s="4" t="s">
        <v>20</v>
      </c>
      <c r="B132" s="5" t="s">
        <v>385</v>
      </c>
      <c r="C132" s="4" t="s">
        <v>22</v>
      </c>
      <c r="D132" s="4" t="s">
        <v>386</v>
      </c>
      <c r="E132" s="4" t="s">
        <v>387</v>
      </c>
      <c r="F132" s="6">
        <f>2.4</f>
        <v>2.4</v>
      </c>
      <c r="G132" s="4" t="s">
        <v>33</v>
      </c>
      <c r="H132" s="7">
        <v>1169.98</v>
      </c>
      <c r="I132" s="7">
        <v>1169.98</v>
      </c>
      <c r="J132" s="8">
        <v>0.25</v>
      </c>
      <c r="K132" s="9">
        <f>1462.48</f>
        <v>1462.48</v>
      </c>
      <c r="L132" s="9">
        <f>3509.95</f>
        <v>3509.95</v>
      </c>
      <c r="M132" s="4"/>
      <c r="N132" s="10">
        <v>1</v>
      </c>
      <c r="O132" s="4" t="s">
        <v>26</v>
      </c>
      <c r="P132" s="11">
        <v>2.4</v>
      </c>
      <c r="Q132" s="9">
        <f>3509.95</f>
        <v>3509.95</v>
      </c>
    </row>
    <row r="133" spans="1:17" ht="45" customHeight="1" x14ac:dyDescent="0.25">
      <c r="A133" s="4" t="s">
        <v>20</v>
      </c>
      <c r="B133" s="5" t="s">
        <v>388</v>
      </c>
      <c r="C133" s="4" t="s">
        <v>22</v>
      </c>
      <c r="D133" s="4" t="s">
        <v>389</v>
      </c>
      <c r="E133" s="4" t="s">
        <v>390</v>
      </c>
      <c r="F133" s="6">
        <f>6.55</f>
        <v>6.55</v>
      </c>
      <c r="G133" s="4" t="s">
        <v>33</v>
      </c>
      <c r="H133" s="7">
        <v>1169.98</v>
      </c>
      <c r="I133" s="7">
        <v>1169.98</v>
      </c>
      <c r="J133" s="8">
        <v>0.25</v>
      </c>
      <c r="K133" s="9">
        <f>1462.48</f>
        <v>1462.48</v>
      </c>
      <c r="L133" s="9">
        <f>9579.24</f>
        <v>9579.24</v>
      </c>
      <c r="M133" s="4"/>
      <c r="N133" s="10">
        <v>1</v>
      </c>
      <c r="O133" s="4" t="s">
        <v>26</v>
      </c>
      <c r="P133" s="11">
        <v>6.55</v>
      </c>
      <c r="Q133" s="9">
        <f>9579.24</f>
        <v>9579.24</v>
      </c>
    </row>
    <row r="134" spans="1:17" ht="45" customHeight="1" x14ac:dyDescent="0.25">
      <c r="A134" s="4" t="s">
        <v>17</v>
      </c>
      <c r="B134" s="5" t="s">
        <v>391</v>
      </c>
      <c r="C134" s="4"/>
      <c r="D134" s="4"/>
      <c r="E134" s="4" t="s">
        <v>392</v>
      </c>
      <c r="F134" s="6"/>
      <c r="G134" s="4"/>
      <c r="H134" s="7"/>
      <c r="I134" s="7"/>
      <c r="J134" s="8"/>
      <c r="K134" s="9"/>
      <c r="L134" s="9">
        <f>251482.04</f>
        <v>251482.04</v>
      </c>
      <c r="M134" s="4"/>
      <c r="N134" s="10"/>
      <c r="O134" s="4"/>
      <c r="P134" s="11"/>
      <c r="Q134" s="9"/>
    </row>
    <row r="135" spans="1:17" ht="45" customHeight="1" x14ac:dyDescent="0.25">
      <c r="A135" s="4" t="s">
        <v>20</v>
      </c>
      <c r="B135" s="5" t="s">
        <v>393</v>
      </c>
      <c r="C135" s="4" t="s">
        <v>22</v>
      </c>
      <c r="D135" s="4" t="s">
        <v>394</v>
      </c>
      <c r="E135" s="4" t="s">
        <v>395</v>
      </c>
      <c r="F135" s="6">
        <f>880.28</f>
        <v>880.28</v>
      </c>
      <c r="G135" s="4" t="s">
        <v>33</v>
      </c>
      <c r="H135" s="7">
        <v>176.51</v>
      </c>
      <c r="I135" s="7">
        <v>176.5</v>
      </c>
      <c r="J135" s="8">
        <v>0.25</v>
      </c>
      <c r="K135" s="9">
        <f>220.63</f>
        <v>220.63</v>
      </c>
      <c r="L135" s="9">
        <f>194216.18</f>
        <v>194216.18</v>
      </c>
      <c r="M135" s="4"/>
      <c r="N135" s="10">
        <v>1</v>
      </c>
      <c r="O135" s="4" t="s">
        <v>26</v>
      </c>
      <c r="P135" s="11">
        <v>880.28</v>
      </c>
      <c r="Q135" s="9">
        <f>194216.18</f>
        <v>194216.18</v>
      </c>
    </row>
    <row r="136" spans="1:17" ht="45" customHeight="1" x14ac:dyDescent="0.25">
      <c r="A136" s="4" t="s">
        <v>20</v>
      </c>
      <c r="B136" s="5" t="s">
        <v>396</v>
      </c>
      <c r="C136" s="4" t="s">
        <v>30</v>
      </c>
      <c r="D136" s="4" t="s">
        <v>397</v>
      </c>
      <c r="E136" s="4" t="s">
        <v>398</v>
      </c>
      <c r="F136" s="6">
        <f>17.2</f>
        <v>17.2</v>
      </c>
      <c r="G136" s="4" t="s">
        <v>46</v>
      </c>
      <c r="H136" s="7">
        <v>104.42</v>
      </c>
      <c r="I136" s="7">
        <v>104.42</v>
      </c>
      <c r="J136" s="8">
        <v>0.25</v>
      </c>
      <c r="K136" s="9">
        <f>130.53</f>
        <v>130.53</v>
      </c>
      <c r="L136" s="9">
        <f>2245.12</f>
        <v>2245.12</v>
      </c>
      <c r="M136" s="4"/>
      <c r="N136" s="10">
        <v>1</v>
      </c>
      <c r="O136" s="4" t="s">
        <v>26</v>
      </c>
      <c r="P136" s="11">
        <v>17.2</v>
      </c>
      <c r="Q136" s="9">
        <f>2245.12</f>
        <v>2245.12</v>
      </c>
    </row>
    <row r="137" spans="1:17" ht="45" customHeight="1" x14ac:dyDescent="0.25">
      <c r="A137" s="4" t="s">
        <v>20</v>
      </c>
      <c r="B137" s="5" t="s">
        <v>399</v>
      </c>
      <c r="C137" s="4" t="s">
        <v>30</v>
      </c>
      <c r="D137" s="4" t="s">
        <v>400</v>
      </c>
      <c r="E137" s="4" t="s">
        <v>401</v>
      </c>
      <c r="F137" s="6">
        <f>81.5</f>
        <v>81.5</v>
      </c>
      <c r="G137" s="4" t="s">
        <v>46</v>
      </c>
      <c r="H137" s="7">
        <v>202.27</v>
      </c>
      <c r="I137" s="7">
        <v>202.27</v>
      </c>
      <c r="J137" s="8">
        <v>0.25</v>
      </c>
      <c r="K137" s="9">
        <f>252.84</f>
        <v>252.84</v>
      </c>
      <c r="L137" s="9">
        <f>20606.46</f>
        <v>20606.46</v>
      </c>
      <c r="M137" s="4"/>
      <c r="N137" s="10">
        <v>1</v>
      </c>
      <c r="O137" s="4" t="s">
        <v>26</v>
      </c>
      <c r="P137" s="11">
        <v>81.5</v>
      </c>
      <c r="Q137" s="9">
        <f>20606.46</f>
        <v>20606.46</v>
      </c>
    </row>
    <row r="138" spans="1:17" ht="45" customHeight="1" x14ac:dyDescent="0.25">
      <c r="A138" s="4" t="s">
        <v>20</v>
      </c>
      <c r="B138" s="5" t="s">
        <v>402</v>
      </c>
      <c r="C138" s="4" t="s">
        <v>22</v>
      </c>
      <c r="D138" s="4" t="s">
        <v>403</v>
      </c>
      <c r="E138" s="4" t="s">
        <v>404</v>
      </c>
      <c r="F138" s="6">
        <f>8.5</f>
        <v>8.5</v>
      </c>
      <c r="G138" s="4" t="s">
        <v>46</v>
      </c>
      <c r="H138" s="7">
        <v>138.05000000000001</v>
      </c>
      <c r="I138" s="7">
        <v>138.04</v>
      </c>
      <c r="J138" s="8">
        <v>0.25</v>
      </c>
      <c r="K138" s="9">
        <f>172.55</f>
        <v>172.55</v>
      </c>
      <c r="L138" s="9">
        <f>1466.68</f>
        <v>1466.68</v>
      </c>
      <c r="M138" s="4"/>
      <c r="N138" s="10">
        <v>1</v>
      </c>
      <c r="O138" s="4" t="s">
        <v>26</v>
      </c>
      <c r="P138" s="11">
        <v>8.5</v>
      </c>
      <c r="Q138" s="9">
        <f>1466.68</f>
        <v>1466.68</v>
      </c>
    </row>
    <row r="139" spans="1:17" ht="45" customHeight="1" x14ac:dyDescent="0.25">
      <c r="A139" s="4" t="s">
        <v>20</v>
      </c>
      <c r="B139" s="5" t="s">
        <v>405</v>
      </c>
      <c r="C139" s="4" t="s">
        <v>30</v>
      </c>
      <c r="D139" s="4" t="s">
        <v>406</v>
      </c>
      <c r="E139" s="4" t="s">
        <v>407</v>
      </c>
      <c r="F139" s="6">
        <f>257.96</f>
        <v>257.95999999999998</v>
      </c>
      <c r="G139" s="4" t="s">
        <v>46</v>
      </c>
      <c r="H139" s="7">
        <v>69.739999999999995</v>
      </c>
      <c r="I139" s="7">
        <v>69.739999999999995</v>
      </c>
      <c r="J139" s="8">
        <v>0.25</v>
      </c>
      <c r="K139" s="9">
        <f>87.18</f>
        <v>87.18</v>
      </c>
      <c r="L139" s="9">
        <f>22488.95</f>
        <v>22488.95</v>
      </c>
      <c r="M139" s="4"/>
      <c r="N139" s="10">
        <v>1</v>
      </c>
      <c r="O139" s="4" t="s">
        <v>26</v>
      </c>
      <c r="P139" s="11">
        <v>257.95999999999998</v>
      </c>
      <c r="Q139" s="9">
        <f>22488.95</f>
        <v>22488.95</v>
      </c>
    </row>
    <row r="140" spans="1:17" ht="45" customHeight="1" x14ac:dyDescent="0.25">
      <c r="A140" s="4" t="s">
        <v>20</v>
      </c>
      <c r="B140" s="5" t="s">
        <v>408</v>
      </c>
      <c r="C140" s="4" t="s">
        <v>30</v>
      </c>
      <c r="D140" s="4" t="s">
        <v>409</v>
      </c>
      <c r="E140" s="4" t="s">
        <v>410</v>
      </c>
      <c r="F140" s="6">
        <f>182.27</f>
        <v>182.27</v>
      </c>
      <c r="G140" s="4" t="s">
        <v>46</v>
      </c>
      <c r="H140" s="7">
        <v>45.9</v>
      </c>
      <c r="I140" s="7">
        <v>45.9</v>
      </c>
      <c r="J140" s="8">
        <v>0.25</v>
      </c>
      <c r="K140" s="9">
        <f>57.38</f>
        <v>57.38</v>
      </c>
      <c r="L140" s="9">
        <f>10458.65</f>
        <v>10458.65</v>
      </c>
      <c r="M140" s="4"/>
      <c r="N140" s="10">
        <v>1</v>
      </c>
      <c r="O140" s="4" t="s">
        <v>26</v>
      </c>
      <c r="P140" s="11">
        <v>182.27</v>
      </c>
      <c r="Q140" s="9">
        <f>10458.65</f>
        <v>10458.65</v>
      </c>
    </row>
    <row r="141" spans="1:17" ht="45" customHeight="1" x14ac:dyDescent="0.25">
      <c r="A141" s="4" t="s">
        <v>17</v>
      </c>
      <c r="B141" s="5" t="s">
        <v>411</v>
      </c>
      <c r="C141" s="4"/>
      <c r="D141" s="4"/>
      <c r="E141" s="4" t="s">
        <v>412</v>
      </c>
      <c r="F141" s="6"/>
      <c r="G141" s="4"/>
      <c r="H141" s="7"/>
      <c r="I141" s="7"/>
      <c r="J141" s="8"/>
      <c r="K141" s="9"/>
      <c r="L141" s="9">
        <f>36537.55</f>
        <v>36537.550000000003</v>
      </c>
      <c r="M141" s="4"/>
      <c r="N141" s="10"/>
      <c r="O141" s="4"/>
      <c r="P141" s="11"/>
      <c r="Q141" s="9"/>
    </row>
    <row r="142" spans="1:17" ht="45" customHeight="1" x14ac:dyDescent="0.25">
      <c r="A142" s="4" t="s">
        <v>20</v>
      </c>
      <c r="B142" s="5" t="s">
        <v>413</v>
      </c>
      <c r="C142" s="4" t="s">
        <v>22</v>
      </c>
      <c r="D142" s="4" t="s">
        <v>414</v>
      </c>
      <c r="E142" s="4" t="s">
        <v>415</v>
      </c>
      <c r="F142" s="6">
        <f>440.16</f>
        <v>440.16</v>
      </c>
      <c r="G142" s="4" t="s">
        <v>33</v>
      </c>
      <c r="H142" s="7">
        <v>46.86</v>
      </c>
      <c r="I142" s="7">
        <v>46.85</v>
      </c>
      <c r="J142" s="8">
        <v>0.25</v>
      </c>
      <c r="K142" s="9">
        <f>58.56</f>
        <v>58.56</v>
      </c>
      <c r="L142" s="9">
        <f>25775.77</f>
        <v>25775.77</v>
      </c>
      <c r="M142" s="4"/>
      <c r="N142" s="10">
        <v>1</v>
      </c>
      <c r="O142" s="4" t="s">
        <v>26</v>
      </c>
      <c r="P142" s="11">
        <v>440.16</v>
      </c>
      <c r="Q142" s="9">
        <f>25775.77</f>
        <v>25775.77</v>
      </c>
    </row>
    <row r="143" spans="1:17" ht="45" customHeight="1" x14ac:dyDescent="0.25">
      <c r="A143" s="4" t="s">
        <v>20</v>
      </c>
      <c r="B143" s="5" t="s">
        <v>416</v>
      </c>
      <c r="C143" s="4" t="s">
        <v>22</v>
      </c>
      <c r="D143" s="4" t="s">
        <v>417</v>
      </c>
      <c r="E143" s="4" t="s">
        <v>418</v>
      </c>
      <c r="F143" s="6">
        <f>13.88</f>
        <v>13.88</v>
      </c>
      <c r="G143" s="4" t="s">
        <v>33</v>
      </c>
      <c r="H143" s="7">
        <v>46.86</v>
      </c>
      <c r="I143" s="7">
        <v>46.85</v>
      </c>
      <c r="J143" s="8">
        <v>0.25</v>
      </c>
      <c r="K143" s="9">
        <f>58.56</f>
        <v>58.56</v>
      </c>
      <c r="L143" s="9">
        <f>812.81</f>
        <v>812.81</v>
      </c>
      <c r="M143" s="4"/>
      <c r="N143" s="10">
        <v>1</v>
      </c>
      <c r="O143" s="4" t="s">
        <v>26</v>
      </c>
      <c r="P143" s="11">
        <v>13.88</v>
      </c>
      <c r="Q143" s="9">
        <f>812.81</f>
        <v>812.81</v>
      </c>
    </row>
    <row r="144" spans="1:17" ht="45" customHeight="1" x14ac:dyDescent="0.25">
      <c r="A144" s="4" t="s">
        <v>20</v>
      </c>
      <c r="B144" s="5" t="s">
        <v>419</v>
      </c>
      <c r="C144" s="4" t="s">
        <v>22</v>
      </c>
      <c r="D144" s="4" t="s">
        <v>420</v>
      </c>
      <c r="E144" s="4" t="s">
        <v>421</v>
      </c>
      <c r="F144" s="6">
        <f>117.23</f>
        <v>117.23</v>
      </c>
      <c r="G144" s="4" t="s">
        <v>33</v>
      </c>
      <c r="H144" s="7">
        <v>46.86</v>
      </c>
      <c r="I144" s="7">
        <v>46.85</v>
      </c>
      <c r="J144" s="8">
        <v>0.25</v>
      </c>
      <c r="K144" s="9">
        <f>58.56</f>
        <v>58.56</v>
      </c>
      <c r="L144" s="9">
        <f>6864.99</f>
        <v>6864.99</v>
      </c>
      <c r="M144" s="4"/>
      <c r="N144" s="10">
        <v>1</v>
      </c>
      <c r="O144" s="4" t="s">
        <v>26</v>
      </c>
      <c r="P144" s="11">
        <v>117.23</v>
      </c>
      <c r="Q144" s="9">
        <f>6864.99</f>
        <v>6864.99</v>
      </c>
    </row>
    <row r="145" spans="1:17" ht="45" customHeight="1" x14ac:dyDescent="0.25">
      <c r="A145" s="4" t="s">
        <v>20</v>
      </c>
      <c r="B145" s="5" t="s">
        <v>422</v>
      </c>
      <c r="C145" s="4" t="s">
        <v>22</v>
      </c>
      <c r="D145" s="4" t="s">
        <v>423</v>
      </c>
      <c r="E145" s="4" t="s">
        <v>424</v>
      </c>
      <c r="F145" s="6">
        <f>35.29</f>
        <v>35.29</v>
      </c>
      <c r="G145" s="4" t="s">
        <v>33</v>
      </c>
      <c r="H145" s="7">
        <v>46.86</v>
      </c>
      <c r="I145" s="7">
        <v>46.85</v>
      </c>
      <c r="J145" s="8">
        <v>0.25</v>
      </c>
      <c r="K145" s="9">
        <f>58.56</f>
        <v>58.56</v>
      </c>
      <c r="L145" s="9">
        <f>2066.58</f>
        <v>2066.58</v>
      </c>
      <c r="M145" s="4"/>
      <c r="N145" s="10">
        <v>1</v>
      </c>
      <c r="O145" s="4" t="s">
        <v>26</v>
      </c>
      <c r="P145" s="11">
        <v>35.29</v>
      </c>
      <c r="Q145" s="9">
        <f>2066.58</f>
        <v>2066.58</v>
      </c>
    </row>
    <row r="146" spans="1:17" ht="45" customHeight="1" x14ac:dyDescent="0.25">
      <c r="A146" s="4" t="s">
        <v>20</v>
      </c>
      <c r="B146" s="5" t="s">
        <v>425</v>
      </c>
      <c r="C146" s="4" t="s">
        <v>30</v>
      </c>
      <c r="D146" s="4" t="s">
        <v>426</v>
      </c>
      <c r="E146" s="4" t="s">
        <v>427</v>
      </c>
      <c r="F146" s="6">
        <f>13.88</f>
        <v>13.88</v>
      </c>
      <c r="G146" s="4" t="s">
        <v>33</v>
      </c>
      <c r="H146" s="7">
        <v>58.64</v>
      </c>
      <c r="I146" s="7">
        <v>58.64</v>
      </c>
      <c r="J146" s="8">
        <v>0.25</v>
      </c>
      <c r="K146" s="9">
        <f>73.3</f>
        <v>73.3</v>
      </c>
      <c r="L146" s="9">
        <f>1017.4</f>
        <v>1017.4</v>
      </c>
      <c r="M146" s="4"/>
      <c r="N146" s="10">
        <v>1</v>
      </c>
      <c r="O146" s="4" t="s">
        <v>26</v>
      </c>
      <c r="P146" s="11">
        <v>13.88</v>
      </c>
      <c r="Q146" s="9">
        <f>1017.4</f>
        <v>1017.4</v>
      </c>
    </row>
    <row r="147" spans="1:17" ht="45" customHeight="1" x14ac:dyDescent="0.25">
      <c r="A147" s="4" t="s">
        <v>17</v>
      </c>
      <c r="B147" s="5" t="s">
        <v>428</v>
      </c>
      <c r="C147" s="4"/>
      <c r="D147" s="4"/>
      <c r="E147" s="4" t="s">
        <v>429</v>
      </c>
      <c r="F147" s="6"/>
      <c r="G147" s="4"/>
      <c r="H147" s="7"/>
      <c r="I147" s="7"/>
      <c r="J147" s="8"/>
      <c r="K147" s="9"/>
      <c r="L147" s="9">
        <f>329765.58</f>
        <v>329765.58</v>
      </c>
      <c r="M147" s="4"/>
      <c r="N147" s="10"/>
      <c r="O147" s="4"/>
      <c r="P147" s="11"/>
      <c r="Q147" s="9"/>
    </row>
    <row r="148" spans="1:17" ht="45" customHeight="1" x14ac:dyDescent="0.25">
      <c r="A148" s="4" t="s">
        <v>20</v>
      </c>
      <c r="B148" s="5" t="s">
        <v>430</v>
      </c>
      <c r="C148" s="4" t="s">
        <v>30</v>
      </c>
      <c r="D148" s="4" t="s">
        <v>431</v>
      </c>
      <c r="E148" s="4" t="s">
        <v>432</v>
      </c>
      <c r="F148" s="6">
        <f>1166.15</f>
        <v>1166.1500000000001</v>
      </c>
      <c r="G148" s="4" t="s">
        <v>33</v>
      </c>
      <c r="H148" s="7">
        <v>8.85</v>
      </c>
      <c r="I148" s="7">
        <v>8.85</v>
      </c>
      <c r="J148" s="8">
        <v>0.25</v>
      </c>
      <c r="K148" s="9">
        <f>11.06</f>
        <v>11.06</v>
      </c>
      <c r="L148" s="9">
        <f>12897.62</f>
        <v>12897.62</v>
      </c>
      <c r="M148" s="4"/>
      <c r="N148" s="10">
        <v>1</v>
      </c>
      <c r="O148" s="4" t="s">
        <v>26</v>
      </c>
      <c r="P148" s="11">
        <v>1166.1500000000001</v>
      </c>
      <c r="Q148" s="9">
        <f>12897.62</f>
        <v>12897.62</v>
      </c>
    </row>
    <row r="149" spans="1:17" ht="45" customHeight="1" x14ac:dyDescent="0.25">
      <c r="A149" s="4" t="s">
        <v>20</v>
      </c>
      <c r="B149" s="5" t="s">
        <v>433</v>
      </c>
      <c r="C149" s="4" t="s">
        <v>30</v>
      </c>
      <c r="D149" s="4" t="s">
        <v>434</v>
      </c>
      <c r="E149" s="4" t="s">
        <v>435</v>
      </c>
      <c r="F149" s="6">
        <f>1440.96</f>
        <v>1440.96</v>
      </c>
      <c r="G149" s="4" t="s">
        <v>33</v>
      </c>
      <c r="H149" s="7">
        <v>4.9400000000000004</v>
      </c>
      <c r="I149" s="7">
        <v>4.9400000000000004</v>
      </c>
      <c r="J149" s="8">
        <v>0.25</v>
      </c>
      <c r="K149" s="9">
        <f>6.18</f>
        <v>6.18</v>
      </c>
      <c r="L149" s="9">
        <f>8905.13</f>
        <v>8905.1299999999992</v>
      </c>
      <c r="M149" s="4"/>
      <c r="N149" s="10">
        <v>1</v>
      </c>
      <c r="O149" s="4" t="s">
        <v>26</v>
      </c>
      <c r="P149" s="11">
        <v>1440.96</v>
      </c>
      <c r="Q149" s="9">
        <f>8905.13</f>
        <v>8905.1299999999992</v>
      </c>
    </row>
    <row r="150" spans="1:17" ht="45" customHeight="1" x14ac:dyDescent="0.25">
      <c r="A150" s="4" t="s">
        <v>20</v>
      </c>
      <c r="B150" s="5" t="s">
        <v>436</v>
      </c>
      <c r="C150" s="4" t="s">
        <v>30</v>
      </c>
      <c r="D150" s="4" t="s">
        <v>437</v>
      </c>
      <c r="E150" s="4" t="s">
        <v>438</v>
      </c>
      <c r="F150" s="6">
        <f>1166.15</f>
        <v>1166.1500000000001</v>
      </c>
      <c r="G150" s="4" t="s">
        <v>33</v>
      </c>
      <c r="H150" s="7">
        <v>59.62</v>
      </c>
      <c r="I150" s="7">
        <v>59.62</v>
      </c>
      <c r="J150" s="8">
        <v>0.25</v>
      </c>
      <c r="K150" s="9">
        <f>74.53</f>
        <v>74.53</v>
      </c>
      <c r="L150" s="9">
        <f>86913.16</f>
        <v>86913.16</v>
      </c>
      <c r="M150" s="4"/>
      <c r="N150" s="10">
        <v>1</v>
      </c>
      <c r="O150" s="4" t="s">
        <v>26</v>
      </c>
      <c r="P150" s="11">
        <v>1166.1500000000001</v>
      </c>
      <c r="Q150" s="9">
        <f>86913.16</f>
        <v>86913.16</v>
      </c>
    </row>
    <row r="151" spans="1:17" ht="45" customHeight="1" x14ac:dyDescent="0.25">
      <c r="A151" s="4" t="s">
        <v>20</v>
      </c>
      <c r="B151" s="5" t="s">
        <v>439</v>
      </c>
      <c r="C151" s="4" t="s">
        <v>30</v>
      </c>
      <c r="D151" s="4" t="s">
        <v>440</v>
      </c>
      <c r="E151" s="4" t="s">
        <v>441</v>
      </c>
      <c r="F151" s="6">
        <f>912.05</f>
        <v>912.05</v>
      </c>
      <c r="G151" s="4" t="s">
        <v>33</v>
      </c>
      <c r="H151" s="7">
        <v>39.26</v>
      </c>
      <c r="I151" s="7">
        <v>39.26</v>
      </c>
      <c r="J151" s="8">
        <v>0.25</v>
      </c>
      <c r="K151" s="9">
        <f>49.08</f>
        <v>49.08</v>
      </c>
      <c r="L151" s="9">
        <f>44763.41</f>
        <v>44763.41</v>
      </c>
      <c r="M151" s="4"/>
      <c r="N151" s="10">
        <v>1</v>
      </c>
      <c r="O151" s="4" t="s">
        <v>26</v>
      </c>
      <c r="P151" s="11">
        <v>912.05</v>
      </c>
      <c r="Q151" s="9">
        <f>44763.41</f>
        <v>44763.41</v>
      </c>
    </row>
    <row r="152" spans="1:17" ht="45" customHeight="1" x14ac:dyDescent="0.25">
      <c r="A152" s="4" t="s">
        <v>20</v>
      </c>
      <c r="B152" s="5" t="s">
        <v>442</v>
      </c>
      <c r="C152" s="4" t="s">
        <v>30</v>
      </c>
      <c r="D152" s="4" t="s">
        <v>443</v>
      </c>
      <c r="E152" s="4" t="s">
        <v>444</v>
      </c>
      <c r="F152" s="6">
        <f>829.36</f>
        <v>829.36</v>
      </c>
      <c r="G152" s="4" t="s">
        <v>33</v>
      </c>
      <c r="H152" s="7">
        <v>35.1</v>
      </c>
      <c r="I152" s="7">
        <v>35.1</v>
      </c>
      <c r="J152" s="8">
        <v>0.25</v>
      </c>
      <c r="K152" s="9">
        <f>43.88</f>
        <v>43.88</v>
      </c>
      <c r="L152" s="9">
        <f>36392.32</f>
        <v>36392.32</v>
      </c>
      <c r="M152" s="4"/>
      <c r="N152" s="10">
        <v>1</v>
      </c>
      <c r="O152" s="4" t="s">
        <v>26</v>
      </c>
      <c r="P152" s="11">
        <v>829.36</v>
      </c>
      <c r="Q152" s="9">
        <f>36392.32</f>
        <v>36392.32</v>
      </c>
    </row>
    <row r="153" spans="1:17" ht="45" customHeight="1" x14ac:dyDescent="0.25">
      <c r="A153" s="4" t="s">
        <v>20</v>
      </c>
      <c r="B153" s="5" t="s">
        <v>445</v>
      </c>
      <c r="C153" s="4" t="s">
        <v>30</v>
      </c>
      <c r="D153" s="4" t="s">
        <v>446</v>
      </c>
      <c r="E153" s="4" t="s">
        <v>447</v>
      </c>
      <c r="F153" s="6">
        <f>428.94</f>
        <v>428.94</v>
      </c>
      <c r="G153" s="4" t="s">
        <v>33</v>
      </c>
      <c r="H153" s="7">
        <v>71.5</v>
      </c>
      <c r="I153" s="7">
        <v>71.5</v>
      </c>
      <c r="J153" s="8">
        <v>0.25</v>
      </c>
      <c r="K153" s="9">
        <f>89.38</f>
        <v>89.38</v>
      </c>
      <c r="L153" s="9">
        <f>38338.66</f>
        <v>38338.660000000003</v>
      </c>
      <c r="M153" s="4"/>
      <c r="N153" s="10">
        <v>1</v>
      </c>
      <c r="O153" s="4" t="s">
        <v>26</v>
      </c>
      <c r="P153" s="11">
        <v>428.94</v>
      </c>
      <c r="Q153" s="9">
        <f>38338.66</f>
        <v>38338.660000000003</v>
      </c>
    </row>
    <row r="154" spans="1:17" ht="45" customHeight="1" x14ac:dyDescent="0.25">
      <c r="A154" s="4" t="s">
        <v>20</v>
      </c>
      <c r="B154" s="5" t="s">
        <v>448</v>
      </c>
      <c r="C154" s="4" t="s">
        <v>22</v>
      </c>
      <c r="D154" s="4" t="s">
        <v>449</v>
      </c>
      <c r="E154" s="4" t="s">
        <v>450</v>
      </c>
      <c r="F154" s="6">
        <f>68.06</f>
        <v>68.06</v>
      </c>
      <c r="G154" s="4" t="s">
        <v>33</v>
      </c>
      <c r="H154" s="7">
        <v>70.239999999999995</v>
      </c>
      <c r="I154" s="7">
        <v>70.2</v>
      </c>
      <c r="J154" s="8">
        <v>0.25</v>
      </c>
      <c r="K154" s="9">
        <f>87.75</f>
        <v>87.75</v>
      </c>
      <c r="L154" s="9">
        <f>5972.27</f>
        <v>5972.27</v>
      </c>
      <c r="M154" s="4"/>
      <c r="N154" s="10">
        <v>1</v>
      </c>
      <c r="O154" s="4" t="s">
        <v>26</v>
      </c>
      <c r="P154" s="11">
        <v>68.06</v>
      </c>
      <c r="Q154" s="9">
        <f>5972.27</f>
        <v>5972.27</v>
      </c>
    </row>
    <row r="155" spans="1:17" ht="45" customHeight="1" x14ac:dyDescent="0.25">
      <c r="A155" s="4" t="s">
        <v>20</v>
      </c>
      <c r="B155" s="5" t="s">
        <v>451</v>
      </c>
      <c r="C155" s="4" t="s">
        <v>22</v>
      </c>
      <c r="D155" s="4" t="s">
        <v>452</v>
      </c>
      <c r="E155" s="4" t="s">
        <v>453</v>
      </c>
      <c r="F155" s="6">
        <f>4.96</f>
        <v>4.96</v>
      </c>
      <c r="G155" s="4" t="s">
        <v>33</v>
      </c>
      <c r="H155" s="7">
        <v>70.239999999999995</v>
      </c>
      <c r="I155" s="7">
        <v>70.2</v>
      </c>
      <c r="J155" s="8">
        <v>0.25</v>
      </c>
      <c r="K155" s="9">
        <f>87.75</f>
        <v>87.75</v>
      </c>
      <c r="L155" s="9">
        <f>435.24</f>
        <v>435.24</v>
      </c>
      <c r="M155" s="4"/>
      <c r="N155" s="10">
        <v>1</v>
      </c>
      <c r="O155" s="4" t="s">
        <v>26</v>
      </c>
      <c r="P155" s="11">
        <v>4.96</v>
      </c>
      <c r="Q155" s="9">
        <f>435.24</f>
        <v>435.24</v>
      </c>
    </row>
    <row r="156" spans="1:17" ht="45" customHeight="1" x14ac:dyDescent="0.25">
      <c r="A156" s="4" t="s">
        <v>20</v>
      </c>
      <c r="B156" s="5" t="s">
        <v>454</v>
      </c>
      <c r="C156" s="4" t="s">
        <v>22</v>
      </c>
      <c r="D156" s="4" t="s">
        <v>455</v>
      </c>
      <c r="E156" s="4" t="s">
        <v>456</v>
      </c>
      <c r="F156" s="6">
        <f>7.12</f>
        <v>7.12</v>
      </c>
      <c r="G156" s="4" t="s">
        <v>33</v>
      </c>
      <c r="H156" s="7">
        <v>70.239999999999995</v>
      </c>
      <c r="I156" s="7">
        <v>70.2</v>
      </c>
      <c r="J156" s="8">
        <v>0.25</v>
      </c>
      <c r="K156" s="9">
        <f>87.75</f>
        <v>87.75</v>
      </c>
      <c r="L156" s="9">
        <f>624.78</f>
        <v>624.78</v>
      </c>
      <c r="M156" s="4"/>
      <c r="N156" s="10">
        <v>1</v>
      </c>
      <c r="O156" s="4" t="s">
        <v>26</v>
      </c>
      <c r="P156" s="11">
        <v>7.12</v>
      </c>
      <c r="Q156" s="9">
        <f>624.78</f>
        <v>624.78</v>
      </c>
    </row>
    <row r="157" spans="1:17" ht="45" customHeight="1" x14ac:dyDescent="0.25">
      <c r="A157" s="4" t="s">
        <v>20</v>
      </c>
      <c r="B157" s="5" t="s">
        <v>457</v>
      </c>
      <c r="C157" s="4" t="s">
        <v>22</v>
      </c>
      <c r="D157" s="4" t="s">
        <v>458</v>
      </c>
      <c r="E157" s="4" t="s">
        <v>459</v>
      </c>
      <c r="F157" s="6">
        <f>4.6</f>
        <v>4.5999999999999996</v>
      </c>
      <c r="G157" s="4" t="s">
        <v>33</v>
      </c>
      <c r="H157" s="7">
        <v>70.239999999999995</v>
      </c>
      <c r="I157" s="7">
        <v>70.2</v>
      </c>
      <c r="J157" s="8">
        <v>0.25</v>
      </c>
      <c r="K157" s="9">
        <f>87.75</f>
        <v>87.75</v>
      </c>
      <c r="L157" s="9">
        <f>403.65</f>
        <v>403.65</v>
      </c>
      <c r="M157" s="4"/>
      <c r="N157" s="10">
        <v>1</v>
      </c>
      <c r="O157" s="4" t="s">
        <v>26</v>
      </c>
      <c r="P157" s="11">
        <v>4.5999999999999996</v>
      </c>
      <c r="Q157" s="9">
        <f>403.65</f>
        <v>403.65</v>
      </c>
    </row>
    <row r="158" spans="1:17" ht="45" customHeight="1" x14ac:dyDescent="0.25">
      <c r="A158" s="4" t="s">
        <v>20</v>
      </c>
      <c r="B158" s="5" t="s">
        <v>460</v>
      </c>
      <c r="C158" s="4" t="s">
        <v>22</v>
      </c>
      <c r="D158" s="4" t="s">
        <v>461</v>
      </c>
      <c r="E158" s="4" t="s">
        <v>462</v>
      </c>
      <c r="F158" s="6">
        <f>123.7</f>
        <v>123.7</v>
      </c>
      <c r="G158" s="4" t="s">
        <v>46</v>
      </c>
      <c r="H158" s="7">
        <v>37.549999999999997</v>
      </c>
      <c r="I158" s="7">
        <v>37.51</v>
      </c>
      <c r="J158" s="8">
        <v>0.25</v>
      </c>
      <c r="K158" s="9">
        <f>46.89</f>
        <v>46.89</v>
      </c>
      <c r="L158" s="9">
        <f>5800.29</f>
        <v>5800.29</v>
      </c>
      <c r="M158" s="4"/>
      <c r="N158" s="10">
        <v>1</v>
      </c>
      <c r="O158" s="4" t="s">
        <v>26</v>
      </c>
      <c r="P158" s="11">
        <v>123.7</v>
      </c>
      <c r="Q158" s="9">
        <f>5800.29</f>
        <v>5800.29</v>
      </c>
    </row>
    <row r="159" spans="1:17" ht="45" customHeight="1" x14ac:dyDescent="0.25">
      <c r="A159" s="4" t="s">
        <v>20</v>
      </c>
      <c r="B159" s="5" t="s">
        <v>463</v>
      </c>
      <c r="C159" s="4" t="s">
        <v>22</v>
      </c>
      <c r="D159" s="4" t="s">
        <v>464</v>
      </c>
      <c r="E159" s="4" t="s">
        <v>465</v>
      </c>
      <c r="F159" s="6">
        <f>35.04</f>
        <v>35.04</v>
      </c>
      <c r="G159" s="4" t="s">
        <v>46</v>
      </c>
      <c r="H159" s="7">
        <v>45.12</v>
      </c>
      <c r="I159" s="7">
        <v>45.1</v>
      </c>
      <c r="J159" s="8">
        <v>0.25</v>
      </c>
      <c r="K159" s="9">
        <f>56.38</f>
        <v>56.38</v>
      </c>
      <c r="L159" s="9">
        <f>1975.56</f>
        <v>1975.56</v>
      </c>
      <c r="M159" s="4"/>
      <c r="N159" s="10">
        <v>1</v>
      </c>
      <c r="O159" s="4" t="s">
        <v>26</v>
      </c>
      <c r="P159" s="11">
        <v>35.04</v>
      </c>
      <c r="Q159" s="9">
        <f>1975.56</f>
        <v>1975.56</v>
      </c>
    </row>
    <row r="160" spans="1:17" ht="45" customHeight="1" x14ac:dyDescent="0.25">
      <c r="A160" s="4" t="s">
        <v>20</v>
      </c>
      <c r="B160" s="5" t="s">
        <v>466</v>
      </c>
      <c r="C160" s="4" t="s">
        <v>30</v>
      </c>
      <c r="D160" s="4" t="s">
        <v>467</v>
      </c>
      <c r="E160" s="4" t="s">
        <v>468</v>
      </c>
      <c r="F160" s="6">
        <f>423.48</f>
        <v>423.48</v>
      </c>
      <c r="G160" s="4" t="s">
        <v>33</v>
      </c>
      <c r="H160" s="7">
        <v>84.97</v>
      </c>
      <c r="I160" s="7">
        <v>84.97</v>
      </c>
      <c r="J160" s="8">
        <v>0.25</v>
      </c>
      <c r="K160" s="9">
        <f>106.21</f>
        <v>106.21</v>
      </c>
      <c r="L160" s="9">
        <f>44977.81</f>
        <v>44977.81</v>
      </c>
      <c r="M160" s="4"/>
      <c r="N160" s="10">
        <v>1</v>
      </c>
      <c r="O160" s="4" t="s">
        <v>26</v>
      </c>
      <c r="P160" s="11">
        <v>423.48</v>
      </c>
      <c r="Q160" s="9">
        <f>44977.81</f>
        <v>44977.81</v>
      </c>
    </row>
    <row r="161" spans="1:17" ht="45" customHeight="1" x14ac:dyDescent="0.25">
      <c r="A161" s="4" t="s">
        <v>20</v>
      </c>
      <c r="B161" s="5" t="s">
        <v>469</v>
      </c>
      <c r="C161" s="4" t="s">
        <v>30</v>
      </c>
      <c r="D161" s="4" t="s">
        <v>470</v>
      </c>
      <c r="E161" s="4" t="s">
        <v>471</v>
      </c>
      <c r="F161" s="6">
        <f>525.98</f>
        <v>525.98</v>
      </c>
      <c r="G161" s="4" t="s">
        <v>46</v>
      </c>
      <c r="H161" s="7">
        <v>14.66</v>
      </c>
      <c r="I161" s="7">
        <v>14.66</v>
      </c>
      <c r="J161" s="8">
        <v>0.25</v>
      </c>
      <c r="K161" s="9">
        <f>18.33</f>
        <v>18.329999999999998</v>
      </c>
      <c r="L161" s="9">
        <f>9641.21</f>
        <v>9641.2099999999991</v>
      </c>
      <c r="M161" s="4"/>
      <c r="N161" s="10">
        <v>1</v>
      </c>
      <c r="O161" s="4" t="s">
        <v>26</v>
      </c>
      <c r="P161" s="11">
        <v>525.98</v>
      </c>
      <c r="Q161" s="9">
        <f>9641.21</f>
        <v>9641.2099999999991</v>
      </c>
    </row>
    <row r="162" spans="1:17" ht="45" customHeight="1" x14ac:dyDescent="0.25">
      <c r="A162" s="4" t="s">
        <v>20</v>
      </c>
      <c r="B162" s="5" t="s">
        <v>472</v>
      </c>
      <c r="C162" s="4" t="s">
        <v>22</v>
      </c>
      <c r="D162" s="4" t="s">
        <v>473</v>
      </c>
      <c r="E162" s="4" t="s">
        <v>474</v>
      </c>
      <c r="F162" s="6">
        <f>259.42</f>
        <v>259.42</v>
      </c>
      <c r="G162" s="4" t="s">
        <v>33</v>
      </c>
      <c r="H162" s="7">
        <v>97.87</v>
      </c>
      <c r="I162" s="7">
        <v>97.83</v>
      </c>
      <c r="J162" s="8">
        <v>0.25</v>
      </c>
      <c r="K162" s="9">
        <f>122.29</f>
        <v>122.29</v>
      </c>
      <c r="L162" s="9">
        <f>31724.47</f>
        <v>31724.47</v>
      </c>
      <c r="M162" s="4"/>
      <c r="N162" s="10">
        <v>1</v>
      </c>
      <c r="O162" s="4" t="s">
        <v>26</v>
      </c>
      <c r="P162" s="11">
        <v>259.42</v>
      </c>
      <c r="Q162" s="9">
        <f>31724.47</f>
        <v>31724.47</v>
      </c>
    </row>
    <row r="163" spans="1:17" ht="45" customHeight="1" x14ac:dyDescent="0.25">
      <c r="A163" s="4" t="s">
        <v>17</v>
      </c>
      <c r="B163" s="5" t="s">
        <v>475</v>
      </c>
      <c r="C163" s="4"/>
      <c r="D163" s="4"/>
      <c r="E163" s="4" t="s">
        <v>476</v>
      </c>
      <c r="F163" s="6"/>
      <c r="G163" s="4"/>
      <c r="H163" s="7"/>
      <c r="I163" s="7"/>
      <c r="J163" s="8"/>
      <c r="K163" s="9"/>
      <c r="L163" s="9">
        <f>397163.67</f>
        <v>397163.67</v>
      </c>
      <c r="M163" s="4"/>
      <c r="N163" s="10"/>
      <c r="O163" s="4"/>
      <c r="P163" s="11"/>
      <c r="Q163" s="9"/>
    </row>
    <row r="164" spans="1:17" ht="45" customHeight="1" x14ac:dyDescent="0.25">
      <c r="A164" s="4" t="s">
        <v>20</v>
      </c>
      <c r="B164" s="5" t="s">
        <v>477</v>
      </c>
      <c r="C164" s="4" t="s">
        <v>30</v>
      </c>
      <c r="D164" s="4" t="s">
        <v>183</v>
      </c>
      <c r="E164" s="4" t="s">
        <v>184</v>
      </c>
      <c r="F164" s="6">
        <f>821.35</f>
        <v>821.35</v>
      </c>
      <c r="G164" s="4" t="s">
        <v>33</v>
      </c>
      <c r="H164" s="7">
        <v>3.75</v>
      </c>
      <c r="I164" s="7">
        <v>3.75</v>
      </c>
      <c r="J164" s="8">
        <v>0.25</v>
      </c>
      <c r="K164" s="9">
        <f>4.69</f>
        <v>4.6900000000000004</v>
      </c>
      <c r="L164" s="9">
        <f>3852.13</f>
        <v>3852.13</v>
      </c>
      <c r="M164" s="4"/>
      <c r="N164" s="10">
        <v>1</v>
      </c>
      <c r="O164" s="4" t="s">
        <v>26</v>
      </c>
      <c r="P164" s="11">
        <v>821.35</v>
      </c>
      <c r="Q164" s="9">
        <f>3852.13</f>
        <v>3852.13</v>
      </c>
    </row>
    <row r="165" spans="1:17" ht="45" customHeight="1" x14ac:dyDescent="0.25">
      <c r="A165" s="4" t="s">
        <v>20</v>
      </c>
      <c r="B165" s="5" t="s">
        <v>478</v>
      </c>
      <c r="C165" s="4" t="s">
        <v>30</v>
      </c>
      <c r="D165" s="4" t="s">
        <v>186</v>
      </c>
      <c r="E165" s="4" t="s">
        <v>187</v>
      </c>
      <c r="F165" s="6">
        <f>82.14</f>
        <v>82.14</v>
      </c>
      <c r="G165" s="4" t="s">
        <v>65</v>
      </c>
      <c r="H165" s="7">
        <v>179</v>
      </c>
      <c r="I165" s="7">
        <v>179</v>
      </c>
      <c r="J165" s="8">
        <v>0.25</v>
      </c>
      <c r="K165" s="9">
        <f>223.75</f>
        <v>223.75</v>
      </c>
      <c r="L165" s="9">
        <f>18378.83</f>
        <v>18378.830000000002</v>
      </c>
      <c r="M165" s="4"/>
      <c r="N165" s="10">
        <v>1</v>
      </c>
      <c r="O165" s="4" t="s">
        <v>26</v>
      </c>
      <c r="P165" s="11">
        <v>82.14</v>
      </c>
      <c r="Q165" s="9">
        <f>18378.83</f>
        <v>18378.830000000002</v>
      </c>
    </row>
    <row r="166" spans="1:17" ht="45" customHeight="1" x14ac:dyDescent="0.25">
      <c r="A166" s="4" t="s">
        <v>20</v>
      </c>
      <c r="B166" s="5" t="s">
        <v>479</v>
      </c>
      <c r="C166" s="4" t="s">
        <v>30</v>
      </c>
      <c r="D166" s="4" t="s">
        <v>189</v>
      </c>
      <c r="E166" s="4" t="s">
        <v>190</v>
      </c>
      <c r="F166" s="6">
        <f>821.35</f>
        <v>821.35</v>
      </c>
      <c r="G166" s="4" t="s">
        <v>33</v>
      </c>
      <c r="H166" s="7">
        <v>2.69</v>
      </c>
      <c r="I166" s="7">
        <v>2.69</v>
      </c>
      <c r="J166" s="8">
        <v>0.25</v>
      </c>
      <c r="K166" s="9">
        <f>3.36</f>
        <v>3.36</v>
      </c>
      <c r="L166" s="9">
        <f>2759.74</f>
        <v>2759.74</v>
      </c>
      <c r="M166" s="4"/>
      <c r="N166" s="10">
        <v>1</v>
      </c>
      <c r="O166" s="4" t="s">
        <v>26</v>
      </c>
      <c r="P166" s="11">
        <v>821.35</v>
      </c>
      <c r="Q166" s="9">
        <f>2759.74</f>
        <v>2759.74</v>
      </c>
    </row>
    <row r="167" spans="1:17" ht="45" customHeight="1" x14ac:dyDescent="0.25">
      <c r="A167" s="4" t="s">
        <v>20</v>
      </c>
      <c r="B167" s="5" t="s">
        <v>480</v>
      </c>
      <c r="C167" s="4" t="s">
        <v>30</v>
      </c>
      <c r="D167" s="4" t="s">
        <v>481</v>
      </c>
      <c r="E167" s="4" t="s">
        <v>482</v>
      </c>
      <c r="F167" s="6">
        <f>1215.6</f>
        <v>1215.5999999999999</v>
      </c>
      <c r="G167" s="4" t="s">
        <v>107</v>
      </c>
      <c r="H167" s="7">
        <v>17.23</v>
      </c>
      <c r="I167" s="7">
        <v>17.23</v>
      </c>
      <c r="J167" s="8">
        <v>0.25</v>
      </c>
      <c r="K167" s="9">
        <f>21.54</f>
        <v>21.54</v>
      </c>
      <c r="L167" s="9">
        <f>26184.02</f>
        <v>26184.02</v>
      </c>
      <c r="M167" s="4"/>
      <c r="N167" s="10">
        <v>1</v>
      </c>
      <c r="O167" s="4" t="s">
        <v>26</v>
      </c>
      <c r="P167" s="11">
        <v>1215.5999999999999</v>
      </c>
      <c r="Q167" s="9">
        <f>26184.02</f>
        <v>26184.02</v>
      </c>
    </row>
    <row r="168" spans="1:17" ht="45" customHeight="1" x14ac:dyDescent="0.25">
      <c r="A168" s="4" t="s">
        <v>20</v>
      </c>
      <c r="B168" s="5" t="s">
        <v>483</v>
      </c>
      <c r="C168" s="4" t="s">
        <v>30</v>
      </c>
      <c r="D168" s="4" t="s">
        <v>484</v>
      </c>
      <c r="E168" s="4" t="s">
        <v>485</v>
      </c>
      <c r="F168" s="6">
        <f>65.7</f>
        <v>65.7</v>
      </c>
      <c r="G168" s="4" t="s">
        <v>65</v>
      </c>
      <c r="H168" s="7">
        <v>786.56</v>
      </c>
      <c r="I168" s="7">
        <v>786.56</v>
      </c>
      <c r="J168" s="8">
        <v>0.25</v>
      </c>
      <c r="K168" s="9">
        <f>983.2</f>
        <v>983.2</v>
      </c>
      <c r="L168" s="9">
        <f>64596.24</f>
        <v>64596.24</v>
      </c>
      <c r="M168" s="4"/>
      <c r="N168" s="10">
        <v>1</v>
      </c>
      <c r="O168" s="4" t="s">
        <v>26</v>
      </c>
      <c r="P168" s="11">
        <v>65.7</v>
      </c>
      <c r="Q168" s="9">
        <f>64596.24</f>
        <v>64596.24</v>
      </c>
    </row>
    <row r="169" spans="1:17" ht="45" customHeight="1" x14ac:dyDescent="0.25">
      <c r="A169" s="4" t="s">
        <v>20</v>
      </c>
      <c r="B169" s="5" t="s">
        <v>486</v>
      </c>
      <c r="C169" s="4" t="s">
        <v>30</v>
      </c>
      <c r="D169" s="4" t="s">
        <v>487</v>
      </c>
      <c r="E169" s="4" t="s">
        <v>488</v>
      </c>
      <c r="F169" s="6">
        <f>293.03</f>
        <v>293.02999999999997</v>
      </c>
      <c r="G169" s="4" t="s">
        <v>33</v>
      </c>
      <c r="H169" s="7">
        <v>44.63</v>
      </c>
      <c r="I169" s="7">
        <v>44.63</v>
      </c>
      <c r="J169" s="8">
        <v>0.25</v>
      </c>
      <c r="K169" s="9">
        <f>55.79</f>
        <v>55.79</v>
      </c>
      <c r="L169" s="9">
        <f>16348.14</f>
        <v>16348.14</v>
      </c>
      <c r="M169" s="4"/>
      <c r="N169" s="10">
        <v>1</v>
      </c>
      <c r="O169" s="4" t="s">
        <v>26</v>
      </c>
      <c r="P169" s="11">
        <v>293.02999999999997</v>
      </c>
      <c r="Q169" s="9">
        <f>16348.14</f>
        <v>16348.14</v>
      </c>
    </row>
    <row r="170" spans="1:17" ht="45" customHeight="1" x14ac:dyDescent="0.25">
      <c r="A170" s="4" t="s">
        <v>20</v>
      </c>
      <c r="B170" s="5" t="s">
        <v>489</v>
      </c>
      <c r="C170" s="4" t="s">
        <v>30</v>
      </c>
      <c r="D170" s="4" t="s">
        <v>490</v>
      </c>
      <c r="E170" s="4" t="s">
        <v>491</v>
      </c>
      <c r="F170" s="6">
        <f>549.5</f>
        <v>549.5</v>
      </c>
      <c r="G170" s="4" t="s">
        <v>33</v>
      </c>
      <c r="H170" s="7">
        <v>57.97</v>
      </c>
      <c r="I170" s="7">
        <v>57.97</v>
      </c>
      <c r="J170" s="8">
        <v>0.25</v>
      </c>
      <c r="K170" s="9">
        <f>72.46</f>
        <v>72.459999999999994</v>
      </c>
      <c r="L170" s="9">
        <f>39816.77</f>
        <v>39816.769999999997</v>
      </c>
      <c r="M170" s="4"/>
      <c r="N170" s="10">
        <v>1</v>
      </c>
      <c r="O170" s="4" t="s">
        <v>26</v>
      </c>
      <c r="P170" s="11">
        <v>549.5</v>
      </c>
      <c r="Q170" s="9">
        <f>39816.77</f>
        <v>39816.769999999997</v>
      </c>
    </row>
    <row r="171" spans="1:17" ht="45" customHeight="1" x14ac:dyDescent="0.25">
      <c r="A171" s="4" t="s">
        <v>20</v>
      </c>
      <c r="B171" s="5" t="s">
        <v>492</v>
      </c>
      <c r="C171" s="4" t="s">
        <v>30</v>
      </c>
      <c r="D171" s="4" t="s">
        <v>493</v>
      </c>
      <c r="E171" s="4" t="s">
        <v>494</v>
      </c>
      <c r="F171" s="6">
        <f>437.34</f>
        <v>437.34</v>
      </c>
      <c r="G171" s="4" t="s">
        <v>33</v>
      </c>
      <c r="H171" s="7">
        <v>112.93</v>
      </c>
      <c r="I171" s="7">
        <v>112.93</v>
      </c>
      <c r="J171" s="8">
        <v>0.25</v>
      </c>
      <c r="K171" s="9">
        <f>141.16</f>
        <v>141.16</v>
      </c>
      <c r="L171" s="9">
        <f>61734.91</f>
        <v>61734.91</v>
      </c>
      <c r="M171" s="4"/>
      <c r="N171" s="10">
        <v>1</v>
      </c>
      <c r="O171" s="4" t="s">
        <v>26</v>
      </c>
      <c r="P171" s="11">
        <v>437.34</v>
      </c>
      <c r="Q171" s="9">
        <f>61734.91</f>
        <v>61734.91</v>
      </c>
    </row>
    <row r="172" spans="1:17" ht="45" customHeight="1" x14ac:dyDescent="0.25">
      <c r="A172" s="4" t="s">
        <v>20</v>
      </c>
      <c r="B172" s="5" t="s">
        <v>495</v>
      </c>
      <c r="C172" s="4" t="s">
        <v>30</v>
      </c>
      <c r="D172" s="4" t="s">
        <v>496</v>
      </c>
      <c r="E172" s="4" t="s">
        <v>497</v>
      </c>
      <c r="F172" s="6">
        <f>42.86</f>
        <v>42.86</v>
      </c>
      <c r="G172" s="4" t="s">
        <v>33</v>
      </c>
      <c r="H172" s="7">
        <v>68.400000000000006</v>
      </c>
      <c r="I172" s="7">
        <v>68.400000000000006</v>
      </c>
      <c r="J172" s="8">
        <v>0.25</v>
      </c>
      <c r="K172" s="9">
        <f>85.5</f>
        <v>85.5</v>
      </c>
      <c r="L172" s="9">
        <f>3664.53</f>
        <v>3664.53</v>
      </c>
      <c r="M172" s="4"/>
      <c r="N172" s="10">
        <v>1</v>
      </c>
      <c r="O172" s="4" t="s">
        <v>26</v>
      </c>
      <c r="P172" s="11">
        <v>42.86</v>
      </c>
      <c r="Q172" s="9">
        <f>3664.53</f>
        <v>3664.53</v>
      </c>
    </row>
    <row r="173" spans="1:17" ht="45" customHeight="1" x14ac:dyDescent="0.25">
      <c r="A173" s="4" t="s">
        <v>20</v>
      </c>
      <c r="B173" s="5" t="s">
        <v>498</v>
      </c>
      <c r="C173" s="4" t="s">
        <v>30</v>
      </c>
      <c r="D173" s="4" t="s">
        <v>499</v>
      </c>
      <c r="E173" s="4" t="s">
        <v>500</v>
      </c>
      <c r="F173" s="6">
        <f>132.97</f>
        <v>132.97</v>
      </c>
      <c r="G173" s="4" t="s">
        <v>33</v>
      </c>
      <c r="H173" s="7">
        <v>57.44</v>
      </c>
      <c r="I173" s="7">
        <v>57.44</v>
      </c>
      <c r="J173" s="8">
        <v>0.25</v>
      </c>
      <c r="K173" s="9">
        <f>71.8</f>
        <v>71.8</v>
      </c>
      <c r="L173" s="9">
        <f>9547.25</f>
        <v>9547.25</v>
      </c>
      <c r="M173" s="4"/>
      <c r="N173" s="10">
        <v>1</v>
      </c>
      <c r="O173" s="4" t="s">
        <v>26</v>
      </c>
      <c r="P173" s="11">
        <v>132.97</v>
      </c>
      <c r="Q173" s="9">
        <f>9547.25</f>
        <v>9547.25</v>
      </c>
    </row>
    <row r="174" spans="1:17" ht="45" customHeight="1" x14ac:dyDescent="0.25">
      <c r="A174" s="4" t="s">
        <v>20</v>
      </c>
      <c r="B174" s="5" t="s">
        <v>501</v>
      </c>
      <c r="C174" s="4" t="s">
        <v>22</v>
      </c>
      <c r="D174" s="4" t="s">
        <v>502</v>
      </c>
      <c r="E174" s="4" t="s">
        <v>503</v>
      </c>
      <c r="F174" s="6">
        <f>218.22</f>
        <v>218.22</v>
      </c>
      <c r="G174" s="4" t="s">
        <v>33</v>
      </c>
      <c r="H174" s="7">
        <v>5.61</v>
      </c>
      <c r="I174" s="7">
        <v>5.6</v>
      </c>
      <c r="J174" s="8">
        <v>0.25</v>
      </c>
      <c r="K174" s="9">
        <f>7</f>
        <v>7</v>
      </c>
      <c r="L174" s="9">
        <f>1527.54</f>
        <v>1527.54</v>
      </c>
      <c r="M174" s="4"/>
      <c r="N174" s="10">
        <v>1</v>
      </c>
      <c r="O174" s="4" t="s">
        <v>26</v>
      </c>
      <c r="P174" s="11">
        <v>218.22</v>
      </c>
      <c r="Q174" s="9">
        <f>1527.54</f>
        <v>1527.54</v>
      </c>
    </row>
    <row r="175" spans="1:17" ht="45" customHeight="1" x14ac:dyDescent="0.25">
      <c r="A175" s="4" t="s">
        <v>20</v>
      </c>
      <c r="B175" s="5" t="s">
        <v>504</v>
      </c>
      <c r="C175" s="4" t="s">
        <v>22</v>
      </c>
      <c r="D175" s="4" t="s">
        <v>505</v>
      </c>
      <c r="E175" s="4" t="s">
        <v>506</v>
      </c>
      <c r="F175" s="6">
        <f>22.68</f>
        <v>22.68</v>
      </c>
      <c r="G175" s="4" t="s">
        <v>33</v>
      </c>
      <c r="H175" s="7">
        <v>182.84</v>
      </c>
      <c r="I175" s="7">
        <v>182.82</v>
      </c>
      <c r="J175" s="8">
        <v>0.25</v>
      </c>
      <c r="K175" s="9">
        <f>228.53</f>
        <v>228.53</v>
      </c>
      <c r="L175" s="9">
        <f>5183.06</f>
        <v>5183.0600000000004</v>
      </c>
      <c r="M175" s="4"/>
      <c r="N175" s="10">
        <v>1</v>
      </c>
      <c r="O175" s="4" t="s">
        <v>26</v>
      </c>
      <c r="P175" s="11">
        <v>22.68</v>
      </c>
      <c r="Q175" s="9">
        <f>5183.06</f>
        <v>5183.0600000000004</v>
      </c>
    </row>
    <row r="176" spans="1:17" ht="45" customHeight="1" x14ac:dyDescent="0.25">
      <c r="A176" s="4" t="s">
        <v>20</v>
      </c>
      <c r="B176" s="5" t="s">
        <v>507</v>
      </c>
      <c r="C176" s="4" t="s">
        <v>22</v>
      </c>
      <c r="D176" s="4" t="s">
        <v>508</v>
      </c>
      <c r="E176" s="4" t="s">
        <v>509</v>
      </c>
      <c r="F176" s="6">
        <f>62.93</f>
        <v>62.93</v>
      </c>
      <c r="G176" s="4" t="s">
        <v>33</v>
      </c>
      <c r="H176" s="7">
        <v>182.84</v>
      </c>
      <c r="I176" s="7">
        <v>182.82</v>
      </c>
      <c r="J176" s="8">
        <v>0.25</v>
      </c>
      <c r="K176" s="9">
        <f>228.53</f>
        <v>228.53</v>
      </c>
      <c r="L176" s="9">
        <f>14381.39</f>
        <v>14381.39</v>
      </c>
      <c r="M176" s="4"/>
      <c r="N176" s="10">
        <v>1</v>
      </c>
      <c r="O176" s="4" t="s">
        <v>26</v>
      </c>
      <c r="P176" s="11">
        <v>62.93</v>
      </c>
      <c r="Q176" s="9">
        <f>14381.39</f>
        <v>14381.39</v>
      </c>
    </row>
    <row r="177" spans="1:17" ht="45" customHeight="1" x14ac:dyDescent="0.25">
      <c r="A177" s="4" t="s">
        <v>20</v>
      </c>
      <c r="B177" s="5" t="s">
        <v>510</v>
      </c>
      <c r="C177" s="4" t="s">
        <v>22</v>
      </c>
      <c r="D177" s="4" t="s">
        <v>511</v>
      </c>
      <c r="E177" s="4" t="s">
        <v>512</v>
      </c>
      <c r="F177" s="6">
        <f>15.33</f>
        <v>15.33</v>
      </c>
      <c r="G177" s="4" t="s">
        <v>33</v>
      </c>
      <c r="H177" s="7">
        <v>182.84</v>
      </c>
      <c r="I177" s="7">
        <v>182.82</v>
      </c>
      <c r="J177" s="8">
        <v>0.25</v>
      </c>
      <c r="K177" s="9">
        <f>228.53</f>
        <v>228.53</v>
      </c>
      <c r="L177" s="9">
        <f>3503.36</f>
        <v>3503.36</v>
      </c>
      <c r="M177" s="4"/>
      <c r="N177" s="10">
        <v>1</v>
      </c>
      <c r="O177" s="4" t="s">
        <v>26</v>
      </c>
      <c r="P177" s="11">
        <v>15.33</v>
      </c>
      <c r="Q177" s="9">
        <f>3503.36</f>
        <v>3503.36</v>
      </c>
    </row>
    <row r="178" spans="1:17" ht="45" customHeight="1" x14ac:dyDescent="0.25">
      <c r="A178" s="4" t="s">
        <v>20</v>
      </c>
      <c r="B178" s="5" t="s">
        <v>513</v>
      </c>
      <c r="C178" s="4" t="s">
        <v>22</v>
      </c>
      <c r="D178" s="4" t="s">
        <v>514</v>
      </c>
      <c r="E178" s="4" t="s">
        <v>515</v>
      </c>
      <c r="F178" s="6">
        <f>117.28</f>
        <v>117.28</v>
      </c>
      <c r="G178" s="4" t="s">
        <v>33</v>
      </c>
      <c r="H178" s="7">
        <v>182.84</v>
      </c>
      <c r="I178" s="7">
        <v>182.82</v>
      </c>
      <c r="J178" s="8">
        <v>0.25</v>
      </c>
      <c r="K178" s="9">
        <f>228.53</f>
        <v>228.53</v>
      </c>
      <c r="L178" s="9">
        <f>26802</f>
        <v>26802</v>
      </c>
      <c r="M178" s="4"/>
      <c r="N178" s="10">
        <v>1</v>
      </c>
      <c r="O178" s="4" t="s">
        <v>26</v>
      </c>
      <c r="P178" s="11">
        <v>117.28</v>
      </c>
      <c r="Q178" s="9">
        <f>26802</f>
        <v>26802</v>
      </c>
    </row>
    <row r="179" spans="1:17" ht="45" customHeight="1" x14ac:dyDescent="0.25">
      <c r="A179" s="4" t="s">
        <v>20</v>
      </c>
      <c r="B179" s="5" t="s">
        <v>516</v>
      </c>
      <c r="C179" s="4" t="s">
        <v>30</v>
      </c>
      <c r="D179" s="4" t="s">
        <v>517</v>
      </c>
      <c r="E179" s="4" t="s">
        <v>518</v>
      </c>
      <c r="F179" s="6">
        <f>54.08</f>
        <v>54.08</v>
      </c>
      <c r="G179" s="4" t="s">
        <v>46</v>
      </c>
      <c r="H179" s="7">
        <v>12.8</v>
      </c>
      <c r="I179" s="7">
        <v>12.8</v>
      </c>
      <c r="J179" s="8">
        <v>0.25</v>
      </c>
      <c r="K179" s="9">
        <f>16</f>
        <v>16</v>
      </c>
      <c r="L179" s="9">
        <f>865.28</f>
        <v>865.28</v>
      </c>
      <c r="M179" s="4"/>
      <c r="N179" s="10">
        <v>1</v>
      </c>
      <c r="O179" s="4" t="s">
        <v>26</v>
      </c>
      <c r="P179" s="11">
        <v>54.08</v>
      </c>
      <c r="Q179" s="9">
        <f>865.28</f>
        <v>865.28</v>
      </c>
    </row>
    <row r="180" spans="1:17" ht="45" customHeight="1" x14ac:dyDescent="0.25">
      <c r="A180" s="4" t="s">
        <v>20</v>
      </c>
      <c r="B180" s="5" t="s">
        <v>519</v>
      </c>
      <c r="C180" s="4" t="s">
        <v>30</v>
      </c>
      <c r="D180" s="4" t="s">
        <v>520</v>
      </c>
      <c r="E180" s="4" t="s">
        <v>521</v>
      </c>
      <c r="F180" s="6">
        <f>109.73</f>
        <v>109.73</v>
      </c>
      <c r="G180" s="4" t="s">
        <v>46</v>
      </c>
      <c r="H180" s="7">
        <v>55.78</v>
      </c>
      <c r="I180" s="7">
        <v>55.78</v>
      </c>
      <c r="J180" s="8">
        <v>0.25</v>
      </c>
      <c r="K180" s="9">
        <f>69.73</f>
        <v>69.73</v>
      </c>
      <c r="L180" s="9">
        <f>7651.47</f>
        <v>7651.47</v>
      </c>
      <c r="M180" s="4"/>
      <c r="N180" s="10">
        <v>1</v>
      </c>
      <c r="O180" s="4" t="s">
        <v>26</v>
      </c>
      <c r="P180" s="11">
        <v>109.73</v>
      </c>
      <c r="Q180" s="9">
        <f>7651.47</f>
        <v>7651.47</v>
      </c>
    </row>
    <row r="181" spans="1:17" ht="45" customHeight="1" x14ac:dyDescent="0.25">
      <c r="A181" s="4" t="s">
        <v>20</v>
      </c>
      <c r="B181" s="5" t="s">
        <v>522</v>
      </c>
      <c r="C181" s="4" t="s">
        <v>30</v>
      </c>
      <c r="D181" s="4" t="s">
        <v>523</v>
      </c>
      <c r="E181" s="4" t="s">
        <v>524</v>
      </c>
      <c r="F181" s="6">
        <f>58.05</f>
        <v>58.05</v>
      </c>
      <c r="G181" s="4" t="s">
        <v>46</v>
      </c>
      <c r="H181" s="7">
        <v>117.93</v>
      </c>
      <c r="I181" s="7">
        <v>117.93</v>
      </c>
      <c r="J181" s="8">
        <v>0.25</v>
      </c>
      <c r="K181" s="9">
        <f>147.41</f>
        <v>147.41</v>
      </c>
      <c r="L181" s="9">
        <f>8557.15</f>
        <v>8557.15</v>
      </c>
      <c r="M181" s="4"/>
      <c r="N181" s="10">
        <v>1</v>
      </c>
      <c r="O181" s="4" t="s">
        <v>26</v>
      </c>
      <c r="P181" s="11">
        <v>58.05</v>
      </c>
      <c r="Q181" s="9">
        <f>8557.15</f>
        <v>8557.15</v>
      </c>
    </row>
    <row r="182" spans="1:17" ht="45" customHeight="1" x14ac:dyDescent="0.25">
      <c r="A182" s="4" t="s">
        <v>20</v>
      </c>
      <c r="B182" s="5" t="s">
        <v>525</v>
      </c>
      <c r="C182" s="4" t="s">
        <v>30</v>
      </c>
      <c r="D182" s="4" t="s">
        <v>526</v>
      </c>
      <c r="E182" s="4" t="s">
        <v>527</v>
      </c>
      <c r="F182" s="6">
        <f>23.28</f>
        <v>23.28</v>
      </c>
      <c r="G182" s="4" t="s">
        <v>33</v>
      </c>
      <c r="H182" s="7">
        <v>98.62</v>
      </c>
      <c r="I182" s="7">
        <v>98.62</v>
      </c>
      <c r="J182" s="8">
        <v>0.25</v>
      </c>
      <c r="K182" s="9">
        <f>123.28</f>
        <v>123.28</v>
      </c>
      <c r="L182" s="9">
        <f>2869.96</f>
        <v>2869.96</v>
      </c>
      <c r="M182" s="4"/>
      <c r="N182" s="10">
        <v>1</v>
      </c>
      <c r="O182" s="4" t="s">
        <v>26</v>
      </c>
      <c r="P182" s="11">
        <v>23.28</v>
      </c>
      <c r="Q182" s="9">
        <f>2869.96</f>
        <v>2869.96</v>
      </c>
    </row>
    <row r="183" spans="1:17" ht="45" customHeight="1" x14ac:dyDescent="0.25">
      <c r="A183" s="4" t="s">
        <v>20</v>
      </c>
      <c r="B183" s="5" t="s">
        <v>528</v>
      </c>
      <c r="C183" s="4" t="s">
        <v>22</v>
      </c>
      <c r="D183" s="4" t="s">
        <v>529</v>
      </c>
      <c r="E183" s="4" t="s">
        <v>530</v>
      </c>
      <c r="F183" s="6">
        <f>15</f>
        <v>15</v>
      </c>
      <c r="G183" s="4" t="s">
        <v>46</v>
      </c>
      <c r="H183" s="7">
        <v>147.44</v>
      </c>
      <c r="I183" s="7">
        <v>147.41</v>
      </c>
      <c r="J183" s="8">
        <v>0.25</v>
      </c>
      <c r="K183" s="9">
        <f>184.26</f>
        <v>184.26</v>
      </c>
      <c r="L183" s="9">
        <f>2763.9</f>
        <v>2763.9</v>
      </c>
      <c r="M183" s="4"/>
      <c r="N183" s="10">
        <v>1</v>
      </c>
      <c r="O183" s="4" t="s">
        <v>26</v>
      </c>
      <c r="P183" s="11">
        <v>15</v>
      </c>
      <c r="Q183" s="9">
        <f>2763.9</f>
        <v>2763.9</v>
      </c>
    </row>
    <row r="184" spans="1:17" ht="45" customHeight="1" x14ac:dyDescent="0.25">
      <c r="A184" s="4" t="s">
        <v>20</v>
      </c>
      <c r="B184" s="5" t="s">
        <v>531</v>
      </c>
      <c r="C184" s="4" t="s">
        <v>22</v>
      </c>
      <c r="D184" s="4" t="s">
        <v>532</v>
      </c>
      <c r="E184" s="4" t="s">
        <v>533</v>
      </c>
      <c r="F184" s="6">
        <f>26.76</f>
        <v>26.76</v>
      </c>
      <c r="G184" s="4" t="s">
        <v>46</v>
      </c>
      <c r="H184" s="7">
        <v>147.44</v>
      </c>
      <c r="I184" s="7">
        <v>147.41</v>
      </c>
      <c r="J184" s="8">
        <v>0.25</v>
      </c>
      <c r="K184" s="9">
        <f>184.26</f>
        <v>184.26</v>
      </c>
      <c r="L184" s="9">
        <f>4930.8</f>
        <v>4930.8</v>
      </c>
      <c r="M184" s="4"/>
      <c r="N184" s="10">
        <v>1</v>
      </c>
      <c r="O184" s="4" t="s">
        <v>26</v>
      </c>
      <c r="P184" s="11">
        <v>26.76</v>
      </c>
      <c r="Q184" s="9">
        <f>4930.8</f>
        <v>4930.8</v>
      </c>
    </row>
    <row r="185" spans="1:17" ht="45" customHeight="1" x14ac:dyDescent="0.25">
      <c r="A185" s="4" t="s">
        <v>20</v>
      </c>
      <c r="B185" s="5" t="s">
        <v>534</v>
      </c>
      <c r="C185" s="4" t="s">
        <v>22</v>
      </c>
      <c r="D185" s="4" t="s">
        <v>535</v>
      </c>
      <c r="E185" s="4" t="s">
        <v>536</v>
      </c>
      <c r="F185" s="6">
        <f>3.11</f>
        <v>3.11</v>
      </c>
      <c r="G185" s="4" t="s">
        <v>33</v>
      </c>
      <c r="H185" s="7">
        <v>205.17</v>
      </c>
      <c r="I185" s="7">
        <v>205.16</v>
      </c>
      <c r="J185" s="8">
        <v>0.25</v>
      </c>
      <c r="K185" s="9">
        <f>256.45</f>
        <v>256.45</v>
      </c>
      <c r="L185" s="9">
        <f>797.56</f>
        <v>797.56</v>
      </c>
      <c r="M185" s="4"/>
      <c r="N185" s="10">
        <v>1</v>
      </c>
      <c r="O185" s="4" t="s">
        <v>26</v>
      </c>
      <c r="P185" s="11">
        <v>3.11</v>
      </c>
      <c r="Q185" s="9">
        <f>797.56</f>
        <v>797.56</v>
      </c>
    </row>
    <row r="186" spans="1:17" ht="45" customHeight="1" x14ac:dyDescent="0.25">
      <c r="A186" s="4" t="s">
        <v>20</v>
      </c>
      <c r="B186" s="5" t="s">
        <v>537</v>
      </c>
      <c r="C186" s="4" t="s">
        <v>22</v>
      </c>
      <c r="D186" s="4" t="s">
        <v>538</v>
      </c>
      <c r="E186" s="4" t="s">
        <v>539</v>
      </c>
      <c r="F186" s="6">
        <f>18.27</f>
        <v>18.27</v>
      </c>
      <c r="G186" s="4" t="s">
        <v>65</v>
      </c>
      <c r="H186" s="7">
        <v>123.98</v>
      </c>
      <c r="I186" s="7">
        <v>123.96</v>
      </c>
      <c r="J186" s="8">
        <v>0.25</v>
      </c>
      <c r="K186" s="9">
        <f>154.95</f>
        <v>154.94999999999999</v>
      </c>
      <c r="L186" s="9">
        <f>2830.94</f>
        <v>2830.94</v>
      </c>
      <c r="M186" s="4"/>
      <c r="N186" s="10">
        <v>1</v>
      </c>
      <c r="O186" s="4" t="s">
        <v>26</v>
      </c>
      <c r="P186" s="11">
        <v>18.27</v>
      </c>
      <c r="Q186" s="9">
        <f>2830.94</f>
        <v>2830.94</v>
      </c>
    </row>
    <row r="187" spans="1:17" ht="45" customHeight="1" x14ac:dyDescent="0.25">
      <c r="A187" s="4" t="s">
        <v>20</v>
      </c>
      <c r="B187" s="5" t="s">
        <v>540</v>
      </c>
      <c r="C187" s="4" t="s">
        <v>30</v>
      </c>
      <c r="D187" s="4" t="s">
        <v>541</v>
      </c>
      <c r="E187" s="4" t="s">
        <v>542</v>
      </c>
      <c r="F187" s="6">
        <f>367.7</f>
        <v>367.7</v>
      </c>
      <c r="G187" s="4" t="s">
        <v>33</v>
      </c>
      <c r="H187" s="7">
        <v>23.39</v>
      </c>
      <c r="I187" s="7">
        <v>23.39</v>
      </c>
      <c r="J187" s="8">
        <v>0.25</v>
      </c>
      <c r="K187" s="9">
        <f>29.24</f>
        <v>29.24</v>
      </c>
      <c r="L187" s="9">
        <f>10751.55</f>
        <v>10751.55</v>
      </c>
      <c r="M187" s="4"/>
      <c r="N187" s="10">
        <v>1</v>
      </c>
      <c r="O187" s="4" t="s">
        <v>26</v>
      </c>
      <c r="P187" s="11">
        <v>367.7</v>
      </c>
      <c r="Q187" s="9">
        <f>10751.55</f>
        <v>10751.55</v>
      </c>
    </row>
    <row r="188" spans="1:17" ht="45" customHeight="1" x14ac:dyDescent="0.25">
      <c r="A188" s="4" t="s">
        <v>20</v>
      </c>
      <c r="B188" s="5" t="s">
        <v>543</v>
      </c>
      <c r="C188" s="4" t="s">
        <v>22</v>
      </c>
      <c r="D188" s="4" t="s">
        <v>544</v>
      </c>
      <c r="E188" s="4" t="s">
        <v>545</v>
      </c>
      <c r="F188" s="6">
        <f>4.56</f>
        <v>4.5599999999999996</v>
      </c>
      <c r="G188" s="4" t="s">
        <v>46</v>
      </c>
      <c r="H188" s="7">
        <v>25.95</v>
      </c>
      <c r="I188" s="7">
        <v>25.93</v>
      </c>
      <c r="J188" s="8">
        <v>0.25</v>
      </c>
      <c r="K188" s="9">
        <f>32.41</f>
        <v>32.409999999999997</v>
      </c>
      <c r="L188" s="9">
        <f>147.79</f>
        <v>147.79</v>
      </c>
      <c r="M188" s="4"/>
      <c r="N188" s="10">
        <v>1</v>
      </c>
      <c r="O188" s="4" t="s">
        <v>26</v>
      </c>
      <c r="P188" s="11">
        <v>4.5599999999999996</v>
      </c>
      <c r="Q188" s="9">
        <f>147.79</f>
        <v>147.79</v>
      </c>
    </row>
    <row r="189" spans="1:17" ht="45" customHeight="1" x14ac:dyDescent="0.25">
      <c r="A189" s="4" t="s">
        <v>20</v>
      </c>
      <c r="B189" s="5" t="s">
        <v>546</v>
      </c>
      <c r="C189" s="4" t="s">
        <v>30</v>
      </c>
      <c r="D189" s="4" t="s">
        <v>201</v>
      </c>
      <c r="E189" s="4" t="s">
        <v>202</v>
      </c>
      <c r="F189" s="6">
        <f>6.91</f>
        <v>6.91</v>
      </c>
      <c r="G189" s="4" t="s">
        <v>33</v>
      </c>
      <c r="H189" s="7">
        <v>37.090000000000003</v>
      </c>
      <c r="I189" s="7">
        <v>37.090000000000003</v>
      </c>
      <c r="J189" s="8">
        <v>0.25</v>
      </c>
      <c r="K189" s="9">
        <f>46.36</f>
        <v>46.36</v>
      </c>
      <c r="L189" s="9">
        <f>320.35</f>
        <v>320.35000000000002</v>
      </c>
      <c r="M189" s="4"/>
      <c r="N189" s="10">
        <v>1</v>
      </c>
      <c r="O189" s="4" t="s">
        <v>26</v>
      </c>
      <c r="P189" s="11">
        <v>6.91</v>
      </c>
      <c r="Q189" s="9">
        <f>320.35</f>
        <v>320.35000000000002</v>
      </c>
    </row>
    <row r="190" spans="1:17" ht="45" customHeight="1" x14ac:dyDescent="0.25">
      <c r="A190" s="4" t="s">
        <v>20</v>
      </c>
      <c r="B190" s="5" t="s">
        <v>547</v>
      </c>
      <c r="C190" s="4" t="s">
        <v>30</v>
      </c>
      <c r="D190" s="4" t="s">
        <v>183</v>
      </c>
      <c r="E190" s="4" t="s">
        <v>184</v>
      </c>
      <c r="F190" s="6">
        <f>414.99</f>
        <v>414.99</v>
      </c>
      <c r="G190" s="4" t="s">
        <v>33</v>
      </c>
      <c r="H190" s="7">
        <v>3.75</v>
      </c>
      <c r="I190" s="7">
        <v>3.75</v>
      </c>
      <c r="J190" s="8">
        <v>0.25</v>
      </c>
      <c r="K190" s="9">
        <f>4.69</f>
        <v>4.6900000000000004</v>
      </c>
      <c r="L190" s="9">
        <f>1946.3</f>
        <v>1946.3</v>
      </c>
      <c r="M190" s="4"/>
      <c r="N190" s="10">
        <v>1</v>
      </c>
      <c r="O190" s="4" t="s">
        <v>26</v>
      </c>
      <c r="P190" s="11">
        <v>414.99</v>
      </c>
      <c r="Q190" s="9">
        <f>1946.3</f>
        <v>1946.3</v>
      </c>
    </row>
    <row r="191" spans="1:17" ht="45" customHeight="1" x14ac:dyDescent="0.25">
      <c r="A191" s="4" t="s">
        <v>20</v>
      </c>
      <c r="B191" s="5" t="s">
        <v>548</v>
      </c>
      <c r="C191" s="4" t="s">
        <v>30</v>
      </c>
      <c r="D191" s="4" t="s">
        <v>186</v>
      </c>
      <c r="E191" s="4" t="s">
        <v>187</v>
      </c>
      <c r="F191" s="6">
        <f>36.16</f>
        <v>36.159999999999997</v>
      </c>
      <c r="G191" s="4" t="s">
        <v>65</v>
      </c>
      <c r="H191" s="7">
        <v>179</v>
      </c>
      <c r="I191" s="7">
        <v>179</v>
      </c>
      <c r="J191" s="8">
        <v>0.25</v>
      </c>
      <c r="K191" s="9">
        <f>223.75</f>
        <v>223.75</v>
      </c>
      <c r="L191" s="9">
        <f>8090.8</f>
        <v>8090.8</v>
      </c>
      <c r="M191" s="4"/>
      <c r="N191" s="10">
        <v>1</v>
      </c>
      <c r="O191" s="4" t="s">
        <v>26</v>
      </c>
      <c r="P191" s="11">
        <v>36.159999999999997</v>
      </c>
      <c r="Q191" s="9">
        <f>8090.8</f>
        <v>8090.8</v>
      </c>
    </row>
    <row r="192" spans="1:17" ht="45" customHeight="1" x14ac:dyDescent="0.25">
      <c r="A192" s="4" t="s">
        <v>20</v>
      </c>
      <c r="B192" s="5" t="s">
        <v>549</v>
      </c>
      <c r="C192" s="4" t="s">
        <v>30</v>
      </c>
      <c r="D192" s="4" t="s">
        <v>550</v>
      </c>
      <c r="E192" s="4" t="s">
        <v>551</v>
      </c>
      <c r="F192" s="6">
        <f>361.65</f>
        <v>361.65</v>
      </c>
      <c r="G192" s="4" t="s">
        <v>33</v>
      </c>
      <c r="H192" s="7">
        <v>102.55</v>
      </c>
      <c r="I192" s="7">
        <v>102.55</v>
      </c>
      <c r="J192" s="8">
        <v>0.25</v>
      </c>
      <c r="K192" s="9">
        <f>128.19</f>
        <v>128.19</v>
      </c>
      <c r="L192" s="9">
        <f>46359.91</f>
        <v>46359.91</v>
      </c>
      <c r="M192" s="4"/>
      <c r="N192" s="10">
        <v>1</v>
      </c>
      <c r="O192" s="4" t="s">
        <v>26</v>
      </c>
      <c r="P192" s="11">
        <v>361.65</v>
      </c>
      <c r="Q192" s="9">
        <f>46359.91</f>
        <v>46359.91</v>
      </c>
    </row>
    <row r="193" spans="1:17" ht="45" customHeight="1" x14ac:dyDescent="0.25">
      <c r="A193" s="4" t="s">
        <v>17</v>
      </c>
      <c r="B193" s="5" t="s">
        <v>552</v>
      </c>
      <c r="C193" s="4"/>
      <c r="D193" s="4"/>
      <c r="E193" s="4" t="s">
        <v>553</v>
      </c>
      <c r="F193" s="6"/>
      <c r="G193" s="4"/>
      <c r="H193" s="7"/>
      <c r="I193" s="7"/>
      <c r="J193" s="8"/>
      <c r="K193" s="9"/>
      <c r="L193" s="9">
        <f>132779.7</f>
        <v>132779.70000000001</v>
      </c>
      <c r="M193" s="4"/>
      <c r="N193" s="10"/>
      <c r="O193" s="4"/>
      <c r="P193" s="11"/>
      <c r="Q193" s="9"/>
    </row>
    <row r="194" spans="1:17" ht="45" customHeight="1" x14ac:dyDescent="0.25">
      <c r="A194" s="4" t="s">
        <v>20</v>
      </c>
      <c r="B194" s="5" t="s">
        <v>554</v>
      </c>
      <c r="C194" s="4" t="s">
        <v>30</v>
      </c>
      <c r="D194" s="4" t="s">
        <v>555</v>
      </c>
      <c r="E194" s="4" t="s">
        <v>556</v>
      </c>
      <c r="F194" s="6">
        <f>803.66</f>
        <v>803.66</v>
      </c>
      <c r="G194" s="4" t="s">
        <v>33</v>
      </c>
      <c r="H194" s="7">
        <v>20.38</v>
      </c>
      <c r="I194" s="7">
        <v>20.38</v>
      </c>
      <c r="J194" s="8">
        <v>0.25</v>
      </c>
      <c r="K194" s="9">
        <f>25.48</f>
        <v>25.48</v>
      </c>
      <c r="L194" s="9">
        <f>20477.26</f>
        <v>20477.259999999998</v>
      </c>
      <c r="M194" s="4"/>
      <c r="N194" s="10">
        <v>1</v>
      </c>
      <c r="O194" s="4" t="s">
        <v>26</v>
      </c>
      <c r="P194" s="11">
        <v>803.66</v>
      </c>
      <c r="Q194" s="9">
        <f>20477.26</f>
        <v>20477.259999999998</v>
      </c>
    </row>
    <row r="195" spans="1:17" ht="45" customHeight="1" x14ac:dyDescent="0.25">
      <c r="A195" s="4" t="s">
        <v>20</v>
      </c>
      <c r="B195" s="5" t="s">
        <v>557</v>
      </c>
      <c r="C195" s="4" t="s">
        <v>30</v>
      </c>
      <c r="D195" s="4" t="s">
        <v>558</v>
      </c>
      <c r="E195" s="4" t="s">
        <v>559</v>
      </c>
      <c r="F195" s="6">
        <f>1099.26</f>
        <v>1099.26</v>
      </c>
      <c r="G195" s="4" t="s">
        <v>33</v>
      </c>
      <c r="H195" s="7">
        <v>33.700000000000003</v>
      </c>
      <c r="I195" s="7">
        <v>33.700000000000003</v>
      </c>
      <c r="J195" s="8">
        <v>0.25</v>
      </c>
      <c r="K195" s="9">
        <f>42.13</f>
        <v>42.13</v>
      </c>
      <c r="L195" s="9">
        <f>46311.82</f>
        <v>46311.82</v>
      </c>
      <c r="M195" s="4"/>
      <c r="N195" s="10">
        <v>1</v>
      </c>
      <c r="O195" s="4" t="s">
        <v>26</v>
      </c>
      <c r="P195" s="11">
        <v>1099.26</v>
      </c>
      <c r="Q195" s="9">
        <f>46311.82</f>
        <v>46311.82</v>
      </c>
    </row>
    <row r="196" spans="1:17" ht="45" customHeight="1" x14ac:dyDescent="0.25">
      <c r="A196" s="4" t="s">
        <v>20</v>
      </c>
      <c r="B196" s="5" t="s">
        <v>560</v>
      </c>
      <c r="C196" s="4" t="s">
        <v>22</v>
      </c>
      <c r="D196" s="4" t="s">
        <v>561</v>
      </c>
      <c r="E196" s="4" t="s">
        <v>562</v>
      </c>
      <c r="F196" s="6">
        <f>1533.46</f>
        <v>1533.46</v>
      </c>
      <c r="G196" s="4" t="s">
        <v>33</v>
      </c>
      <c r="H196" s="7">
        <v>14.16</v>
      </c>
      <c r="I196" s="7">
        <v>14.16</v>
      </c>
      <c r="J196" s="8">
        <v>0.25</v>
      </c>
      <c r="K196" s="9">
        <f>17.7</f>
        <v>17.7</v>
      </c>
      <c r="L196" s="9">
        <f>27142.24</f>
        <v>27142.240000000002</v>
      </c>
      <c r="M196" s="4"/>
      <c r="N196" s="10">
        <v>1</v>
      </c>
      <c r="O196" s="4" t="s">
        <v>26</v>
      </c>
      <c r="P196" s="11">
        <v>1533.46</v>
      </c>
      <c r="Q196" s="9">
        <f>27142.24</f>
        <v>27142.240000000002</v>
      </c>
    </row>
    <row r="197" spans="1:17" ht="45" customHeight="1" x14ac:dyDescent="0.25">
      <c r="A197" s="4" t="s">
        <v>20</v>
      </c>
      <c r="B197" s="5" t="s">
        <v>563</v>
      </c>
      <c r="C197" s="4" t="s">
        <v>22</v>
      </c>
      <c r="D197" s="4" t="s">
        <v>564</v>
      </c>
      <c r="E197" s="4" t="s">
        <v>565</v>
      </c>
      <c r="F197" s="6">
        <f>15.97</f>
        <v>15.97</v>
      </c>
      <c r="G197" s="4" t="s">
        <v>33</v>
      </c>
      <c r="H197" s="7">
        <v>14.16</v>
      </c>
      <c r="I197" s="7">
        <v>14.16</v>
      </c>
      <c r="J197" s="8">
        <v>0.25</v>
      </c>
      <c r="K197" s="9">
        <f>17.7</f>
        <v>17.7</v>
      </c>
      <c r="L197" s="9">
        <f>282.67</f>
        <v>282.67</v>
      </c>
      <c r="M197" s="4"/>
      <c r="N197" s="10">
        <v>1</v>
      </c>
      <c r="O197" s="4" t="s">
        <v>26</v>
      </c>
      <c r="P197" s="11">
        <v>15.97</v>
      </c>
      <c r="Q197" s="9">
        <f>282.67</f>
        <v>282.67</v>
      </c>
    </row>
    <row r="198" spans="1:17" ht="45" customHeight="1" x14ac:dyDescent="0.25">
      <c r="A198" s="4" t="s">
        <v>20</v>
      </c>
      <c r="B198" s="5" t="s">
        <v>566</v>
      </c>
      <c r="C198" s="4" t="s">
        <v>22</v>
      </c>
      <c r="D198" s="4" t="s">
        <v>567</v>
      </c>
      <c r="E198" s="4" t="s">
        <v>568</v>
      </c>
      <c r="F198" s="6">
        <f>337.57</f>
        <v>337.57</v>
      </c>
      <c r="G198" s="4" t="s">
        <v>33</v>
      </c>
      <c r="H198" s="7">
        <v>14.16</v>
      </c>
      <c r="I198" s="7">
        <v>14.16</v>
      </c>
      <c r="J198" s="8">
        <v>0.25</v>
      </c>
      <c r="K198" s="9">
        <f>17.7</f>
        <v>17.7</v>
      </c>
      <c r="L198" s="9">
        <f>5974.99</f>
        <v>5974.99</v>
      </c>
      <c r="M198" s="4"/>
      <c r="N198" s="10">
        <v>1</v>
      </c>
      <c r="O198" s="4" t="s">
        <v>26</v>
      </c>
      <c r="P198" s="11">
        <v>337.57</v>
      </c>
      <c r="Q198" s="9">
        <f>5974.99</f>
        <v>5974.99</v>
      </c>
    </row>
    <row r="199" spans="1:17" ht="45" customHeight="1" x14ac:dyDescent="0.25">
      <c r="A199" s="4" t="s">
        <v>20</v>
      </c>
      <c r="B199" s="5" t="s">
        <v>569</v>
      </c>
      <c r="C199" s="4" t="s">
        <v>22</v>
      </c>
      <c r="D199" s="4" t="s">
        <v>570</v>
      </c>
      <c r="E199" s="4" t="s">
        <v>571</v>
      </c>
      <c r="F199" s="6">
        <f>77.84</f>
        <v>77.84</v>
      </c>
      <c r="G199" s="4" t="s">
        <v>33</v>
      </c>
      <c r="H199" s="7">
        <v>14.16</v>
      </c>
      <c r="I199" s="7">
        <v>14.16</v>
      </c>
      <c r="J199" s="8">
        <v>0.25</v>
      </c>
      <c r="K199" s="9">
        <f>17.7</f>
        <v>17.7</v>
      </c>
      <c r="L199" s="9">
        <f>1377.77</f>
        <v>1377.77</v>
      </c>
      <c r="M199" s="4"/>
      <c r="N199" s="10">
        <v>1</v>
      </c>
      <c r="O199" s="4" t="s">
        <v>26</v>
      </c>
      <c r="P199" s="11">
        <v>77.84</v>
      </c>
      <c r="Q199" s="9">
        <f>1377.77</f>
        <v>1377.77</v>
      </c>
    </row>
    <row r="200" spans="1:17" ht="45" customHeight="1" x14ac:dyDescent="0.25">
      <c r="A200" s="4" t="s">
        <v>20</v>
      </c>
      <c r="B200" s="5" t="s">
        <v>572</v>
      </c>
      <c r="C200" s="4" t="s">
        <v>22</v>
      </c>
      <c r="D200" s="4" t="s">
        <v>573</v>
      </c>
      <c r="E200" s="4" t="s">
        <v>574</v>
      </c>
      <c r="F200" s="6">
        <f>49.26</f>
        <v>49.26</v>
      </c>
      <c r="G200" s="4" t="s">
        <v>33</v>
      </c>
      <c r="H200" s="7">
        <v>66.55</v>
      </c>
      <c r="I200" s="7">
        <v>66.53</v>
      </c>
      <c r="J200" s="8">
        <v>0.25</v>
      </c>
      <c r="K200" s="9">
        <f>83.16</f>
        <v>83.16</v>
      </c>
      <c r="L200" s="9">
        <f>4096.46</f>
        <v>4096.46</v>
      </c>
      <c r="M200" s="4"/>
      <c r="N200" s="10">
        <v>1</v>
      </c>
      <c r="O200" s="4" t="s">
        <v>26</v>
      </c>
      <c r="P200" s="11">
        <v>49.26</v>
      </c>
      <c r="Q200" s="9">
        <f>4096.46</f>
        <v>4096.46</v>
      </c>
    </row>
    <row r="201" spans="1:17" ht="45" customHeight="1" x14ac:dyDescent="0.25">
      <c r="A201" s="4" t="s">
        <v>20</v>
      </c>
      <c r="B201" s="5" t="s">
        <v>575</v>
      </c>
      <c r="C201" s="4" t="s">
        <v>22</v>
      </c>
      <c r="D201" s="4" t="s">
        <v>576</v>
      </c>
      <c r="E201" s="4" t="s">
        <v>577</v>
      </c>
      <c r="F201" s="6">
        <f>50.45</f>
        <v>50.45</v>
      </c>
      <c r="G201" s="4" t="s">
        <v>33</v>
      </c>
      <c r="H201" s="7">
        <v>66.55</v>
      </c>
      <c r="I201" s="7">
        <v>66.53</v>
      </c>
      <c r="J201" s="8">
        <v>0.25</v>
      </c>
      <c r="K201" s="9">
        <f>83.16</f>
        <v>83.16</v>
      </c>
      <c r="L201" s="9">
        <f>4195.42</f>
        <v>4195.42</v>
      </c>
      <c r="M201" s="4"/>
      <c r="N201" s="10">
        <v>1</v>
      </c>
      <c r="O201" s="4" t="s">
        <v>26</v>
      </c>
      <c r="P201" s="11">
        <v>50.45</v>
      </c>
      <c r="Q201" s="9">
        <f>4195.42</f>
        <v>4195.42</v>
      </c>
    </row>
    <row r="202" spans="1:17" ht="45" customHeight="1" x14ac:dyDescent="0.25">
      <c r="A202" s="4" t="s">
        <v>20</v>
      </c>
      <c r="B202" s="5" t="s">
        <v>578</v>
      </c>
      <c r="C202" s="4" t="s">
        <v>22</v>
      </c>
      <c r="D202" s="4" t="s">
        <v>579</v>
      </c>
      <c r="E202" s="4" t="s">
        <v>580</v>
      </c>
      <c r="F202" s="6">
        <f>8.66</f>
        <v>8.66</v>
      </c>
      <c r="G202" s="4" t="s">
        <v>33</v>
      </c>
      <c r="H202" s="7">
        <v>18.41</v>
      </c>
      <c r="I202" s="7">
        <v>18.399999999999999</v>
      </c>
      <c r="J202" s="8">
        <v>0.25</v>
      </c>
      <c r="K202" s="9">
        <f>23</f>
        <v>23</v>
      </c>
      <c r="L202" s="9">
        <f>199.18</f>
        <v>199.18</v>
      </c>
      <c r="M202" s="4"/>
      <c r="N202" s="10">
        <v>1</v>
      </c>
      <c r="O202" s="4" t="s">
        <v>26</v>
      </c>
      <c r="P202" s="11">
        <v>8.66</v>
      </c>
      <c r="Q202" s="9">
        <f>199.18</f>
        <v>199.18</v>
      </c>
    </row>
    <row r="203" spans="1:17" ht="45" customHeight="1" x14ac:dyDescent="0.25">
      <c r="A203" s="4" t="s">
        <v>20</v>
      </c>
      <c r="B203" s="5" t="s">
        <v>581</v>
      </c>
      <c r="C203" s="4" t="s">
        <v>30</v>
      </c>
      <c r="D203" s="4" t="s">
        <v>582</v>
      </c>
      <c r="E203" s="4" t="s">
        <v>583</v>
      </c>
      <c r="F203" s="6">
        <f>434.62</f>
        <v>434.62</v>
      </c>
      <c r="G203" s="4" t="s">
        <v>33</v>
      </c>
      <c r="H203" s="7">
        <v>23.39</v>
      </c>
      <c r="I203" s="7">
        <v>23.39</v>
      </c>
      <c r="J203" s="8">
        <v>0.25</v>
      </c>
      <c r="K203" s="9">
        <f>29.24</f>
        <v>29.24</v>
      </c>
      <c r="L203" s="9">
        <f>12708.29</f>
        <v>12708.29</v>
      </c>
      <c r="M203" s="4"/>
      <c r="N203" s="10">
        <v>1</v>
      </c>
      <c r="O203" s="4" t="s">
        <v>26</v>
      </c>
      <c r="P203" s="11">
        <v>434.62</v>
      </c>
      <c r="Q203" s="9">
        <f>12708.29</f>
        <v>12708.29</v>
      </c>
    </row>
    <row r="204" spans="1:17" ht="45" customHeight="1" x14ac:dyDescent="0.25">
      <c r="A204" s="4" t="s">
        <v>20</v>
      </c>
      <c r="B204" s="5" t="s">
        <v>584</v>
      </c>
      <c r="C204" s="4" t="s">
        <v>30</v>
      </c>
      <c r="D204" s="4" t="s">
        <v>585</v>
      </c>
      <c r="E204" s="4" t="s">
        <v>586</v>
      </c>
      <c r="F204" s="6">
        <f>434.62</f>
        <v>434.62</v>
      </c>
      <c r="G204" s="4" t="s">
        <v>33</v>
      </c>
      <c r="H204" s="7">
        <v>16.7</v>
      </c>
      <c r="I204" s="7">
        <v>16.7</v>
      </c>
      <c r="J204" s="8">
        <v>0.25</v>
      </c>
      <c r="K204" s="9">
        <f>20.88</f>
        <v>20.88</v>
      </c>
      <c r="L204" s="9">
        <f>9074.87</f>
        <v>9074.8700000000008</v>
      </c>
      <c r="M204" s="4"/>
      <c r="N204" s="10">
        <v>1</v>
      </c>
      <c r="O204" s="4" t="s">
        <v>26</v>
      </c>
      <c r="P204" s="11">
        <v>434.62</v>
      </c>
      <c r="Q204" s="9">
        <f>9074.87</f>
        <v>9074.8700000000008</v>
      </c>
    </row>
    <row r="205" spans="1:17" ht="45" customHeight="1" x14ac:dyDescent="0.25">
      <c r="A205" s="4" t="s">
        <v>20</v>
      </c>
      <c r="B205" s="5" t="s">
        <v>587</v>
      </c>
      <c r="C205" s="4" t="s">
        <v>22</v>
      </c>
      <c r="D205" s="4" t="s">
        <v>588</v>
      </c>
      <c r="E205" s="4" t="s">
        <v>589</v>
      </c>
      <c r="F205" s="6">
        <f>1.46</f>
        <v>1.46</v>
      </c>
      <c r="G205" s="4" t="s">
        <v>33</v>
      </c>
      <c r="H205" s="7">
        <v>69.180000000000007</v>
      </c>
      <c r="I205" s="7">
        <v>69.150000000000006</v>
      </c>
      <c r="J205" s="8">
        <v>0.25</v>
      </c>
      <c r="K205" s="9">
        <f>86.44</f>
        <v>86.44</v>
      </c>
      <c r="L205" s="9">
        <f>126.2</f>
        <v>126.2</v>
      </c>
      <c r="M205" s="4"/>
      <c r="N205" s="10">
        <v>1</v>
      </c>
      <c r="O205" s="4" t="s">
        <v>26</v>
      </c>
      <c r="P205" s="11">
        <v>1.46</v>
      </c>
      <c r="Q205" s="9">
        <f>126.2</f>
        <v>126.2</v>
      </c>
    </row>
    <row r="206" spans="1:17" ht="45" customHeight="1" x14ac:dyDescent="0.25">
      <c r="A206" s="4" t="s">
        <v>20</v>
      </c>
      <c r="B206" s="5" t="s">
        <v>590</v>
      </c>
      <c r="C206" s="4" t="s">
        <v>22</v>
      </c>
      <c r="D206" s="4" t="s">
        <v>591</v>
      </c>
      <c r="E206" s="4" t="s">
        <v>592</v>
      </c>
      <c r="F206" s="6">
        <f>3.23</f>
        <v>3.23</v>
      </c>
      <c r="G206" s="4" t="s">
        <v>33</v>
      </c>
      <c r="H206" s="7">
        <v>69.180000000000007</v>
      </c>
      <c r="I206" s="7">
        <v>69.150000000000006</v>
      </c>
      <c r="J206" s="8">
        <v>0.25</v>
      </c>
      <c r="K206" s="9">
        <f>86.44</f>
        <v>86.44</v>
      </c>
      <c r="L206" s="9">
        <f>279.2</f>
        <v>279.2</v>
      </c>
      <c r="M206" s="4"/>
      <c r="N206" s="10">
        <v>1</v>
      </c>
      <c r="O206" s="4" t="s">
        <v>26</v>
      </c>
      <c r="P206" s="11">
        <v>3.23</v>
      </c>
      <c r="Q206" s="9">
        <f>279.2</f>
        <v>279.2</v>
      </c>
    </row>
    <row r="207" spans="1:17" ht="45" customHeight="1" x14ac:dyDescent="0.25">
      <c r="A207" s="4" t="s">
        <v>20</v>
      </c>
      <c r="B207" s="5" t="s">
        <v>593</v>
      </c>
      <c r="C207" s="4" t="s">
        <v>22</v>
      </c>
      <c r="D207" s="4" t="s">
        <v>594</v>
      </c>
      <c r="E207" s="4" t="s">
        <v>595</v>
      </c>
      <c r="F207" s="6">
        <f>0.94</f>
        <v>0.94</v>
      </c>
      <c r="G207" s="4" t="s">
        <v>33</v>
      </c>
      <c r="H207" s="7">
        <v>69.180000000000007</v>
      </c>
      <c r="I207" s="7">
        <v>69.150000000000006</v>
      </c>
      <c r="J207" s="8">
        <v>0.25</v>
      </c>
      <c r="K207" s="9">
        <f>86.44</f>
        <v>86.44</v>
      </c>
      <c r="L207" s="9">
        <f>81.25</f>
        <v>81.25</v>
      </c>
      <c r="M207" s="4"/>
      <c r="N207" s="10">
        <v>1</v>
      </c>
      <c r="O207" s="4" t="s">
        <v>26</v>
      </c>
      <c r="P207" s="11">
        <v>0.94</v>
      </c>
      <c r="Q207" s="9">
        <f>81.25</f>
        <v>81.25</v>
      </c>
    </row>
    <row r="208" spans="1:17" ht="45" customHeight="1" x14ac:dyDescent="0.25">
      <c r="A208" s="4" t="s">
        <v>20</v>
      </c>
      <c r="B208" s="5" t="s">
        <v>596</v>
      </c>
      <c r="C208" s="4" t="s">
        <v>22</v>
      </c>
      <c r="D208" s="4" t="s">
        <v>594</v>
      </c>
      <c r="E208" s="4" t="s">
        <v>595</v>
      </c>
      <c r="F208" s="6">
        <f>1.23</f>
        <v>1.23</v>
      </c>
      <c r="G208" s="4" t="s">
        <v>33</v>
      </c>
      <c r="H208" s="7">
        <v>69.180000000000007</v>
      </c>
      <c r="I208" s="7">
        <v>69.150000000000006</v>
      </c>
      <c r="J208" s="8">
        <v>0.25</v>
      </c>
      <c r="K208" s="9">
        <f>86.44</f>
        <v>86.44</v>
      </c>
      <c r="L208" s="9">
        <f>106.32</f>
        <v>106.32</v>
      </c>
      <c r="M208" s="4"/>
      <c r="N208" s="10">
        <v>1</v>
      </c>
      <c r="O208" s="4" t="s">
        <v>26</v>
      </c>
      <c r="P208" s="11">
        <v>1.23</v>
      </c>
      <c r="Q208" s="9">
        <f>106.32</f>
        <v>106.32</v>
      </c>
    </row>
    <row r="209" spans="1:17" ht="45" customHeight="1" x14ac:dyDescent="0.25">
      <c r="A209" s="4" t="s">
        <v>20</v>
      </c>
      <c r="B209" s="5" t="s">
        <v>597</v>
      </c>
      <c r="C209" s="4" t="s">
        <v>22</v>
      </c>
      <c r="D209" s="4" t="s">
        <v>598</v>
      </c>
      <c r="E209" s="4" t="s">
        <v>599</v>
      </c>
      <c r="F209" s="6">
        <f>2.3</f>
        <v>2.2999999999999998</v>
      </c>
      <c r="G209" s="4" t="s">
        <v>33</v>
      </c>
      <c r="H209" s="7">
        <v>69.180000000000007</v>
      </c>
      <c r="I209" s="7">
        <v>69.150000000000006</v>
      </c>
      <c r="J209" s="8">
        <v>0.25</v>
      </c>
      <c r="K209" s="9">
        <f>86.44</f>
        <v>86.44</v>
      </c>
      <c r="L209" s="9">
        <f>198.81</f>
        <v>198.81</v>
      </c>
      <c r="M209" s="4"/>
      <c r="N209" s="10">
        <v>1</v>
      </c>
      <c r="O209" s="4" t="s">
        <v>26</v>
      </c>
      <c r="P209" s="11">
        <v>2.2999999999999998</v>
      </c>
      <c r="Q209" s="9">
        <f>198.81</f>
        <v>198.81</v>
      </c>
    </row>
    <row r="210" spans="1:17" ht="45" customHeight="1" x14ac:dyDescent="0.25">
      <c r="A210" s="4" t="s">
        <v>20</v>
      </c>
      <c r="B210" s="5" t="s">
        <v>600</v>
      </c>
      <c r="C210" s="4" t="s">
        <v>22</v>
      </c>
      <c r="D210" s="4" t="s">
        <v>601</v>
      </c>
      <c r="E210" s="4" t="s">
        <v>602</v>
      </c>
      <c r="F210" s="6">
        <f>1.7</f>
        <v>1.7</v>
      </c>
      <c r="G210" s="4" t="s">
        <v>33</v>
      </c>
      <c r="H210" s="7">
        <v>69.180000000000007</v>
      </c>
      <c r="I210" s="7">
        <v>69.150000000000006</v>
      </c>
      <c r="J210" s="8">
        <v>0.25</v>
      </c>
      <c r="K210" s="9">
        <f>86.44</f>
        <v>86.44</v>
      </c>
      <c r="L210" s="9">
        <f>146.95</f>
        <v>146.94999999999999</v>
      </c>
      <c r="M210" s="4"/>
      <c r="N210" s="10">
        <v>1</v>
      </c>
      <c r="O210" s="4" t="s">
        <v>26</v>
      </c>
      <c r="P210" s="11">
        <v>1.7</v>
      </c>
      <c r="Q210" s="9">
        <f>146.95</f>
        <v>146.94999999999999</v>
      </c>
    </row>
    <row r="211" spans="1:17" ht="45" customHeight="1" x14ac:dyDescent="0.25">
      <c r="A211" s="4" t="s">
        <v>17</v>
      </c>
      <c r="B211" s="5" t="s">
        <v>603</v>
      </c>
      <c r="C211" s="4"/>
      <c r="D211" s="4"/>
      <c r="E211" s="4" t="s">
        <v>604</v>
      </c>
      <c r="F211" s="6"/>
      <c r="G211" s="4"/>
      <c r="H211" s="7"/>
      <c r="I211" s="7"/>
      <c r="J211" s="8"/>
      <c r="K211" s="9"/>
      <c r="L211" s="9">
        <f>119770.15</f>
        <v>119770.15</v>
      </c>
      <c r="M211" s="4"/>
      <c r="N211" s="10"/>
      <c r="O211" s="4"/>
      <c r="P211" s="11"/>
      <c r="Q211" s="9"/>
    </row>
    <row r="212" spans="1:17" ht="45" customHeight="1" x14ac:dyDescent="0.25">
      <c r="A212" s="4" t="s">
        <v>20</v>
      </c>
      <c r="B212" s="5" t="s">
        <v>605</v>
      </c>
      <c r="C212" s="4" t="s">
        <v>30</v>
      </c>
      <c r="D212" s="4" t="s">
        <v>606</v>
      </c>
      <c r="E212" s="4" t="s">
        <v>607</v>
      </c>
      <c r="F212" s="6">
        <f>274</f>
        <v>274</v>
      </c>
      <c r="G212" s="4" t="s">
        <v>46</v>
      </c>
      <c r="H212" s="7">
        <v>26.48</v>
      </c>
      <c r="I212" s="7">
        <v>26.48</v>
      </c>
      <c r="J212" s="8">
        <v>0.25</v>
      </c>
      <c r="K212" s="9">
        <f>33.1</f>
        <v>33.1</v>
      </c>
      <c r="L212" s="9">
        <f>9069.4</f>
        <v>9069.4</v>
      </c>
      <c r="M212" s="4"/>
      <c r="N212" s="10">
        <v>1</v>
      </c>
      <c r="O212" s="4" t="s">
        <v>26</v>
      </c>
      <c r="P212" s="11">
        <v>274</v>
      </c>
      <c r="Q212" s="9">
        <f>9069.4</f>
        <v>9069.4</v>
      </c>
    </row>
    <row r="213" spans="1:17" ht="45" customHeight="1" x14ac:dyDescent="0.25">
      <c r="A213" s="4" t="s">
        <v>20</v>
      </c>
      <c r="B213" s="5" t="s">
        <v>608</v>
      </c>
      <c r="C213" s="4" t="s">
        <v>30</v>
      </c>
      <c r="D213" s="4" t="s">
        <v>609</v>
      </c>
      <c r="E213" s="4" t="s">
        <v>610</v>
      </c>
      <c r="F213" s="6">
        <f>1.6</f>
        <v>1.6</v>
      </c>
      <c r="G213" s="4" t="s">
        <v>46</v>
      </c>
      <c r="H213" s="7">
        <v>36.74</v>
      </c>
      <c r="I213" s="7">
        <v>36.74</v>
      </c>
      <c r="J213" s="8">
        <v>0.25</v>
      </c>
      <c r="K213" s="9">
        <f>45.93</f>
        <v>45.93</v>
      </c>
      <c r="L213" s="9">
        <f>73.49</f>
        <v>73.489999999999995</v>
      </c>
      <c r="M213" s="4"/>
      <c r="N213" s="10">
        <v>1</v>
      </c>
      <c r="O213" s="4" t="s">
        <v>26</v>
      </c>
      <c r="P213" s="11">
        <v>1.6</v>
      </c>
      <c r="Q213" s="9">
        <f>73.49</f>
        <v>73.489999999999995</v>
      </c>
    </row>
    <row r="214" spans="1:17" ht="45" customHeight="1" x14ac:dyDescent="0.25">
      <c r="A214" s="4" t="s">
        <v>20</v>
      </c>
      <c r="B214" s="5" t="s">
        <v>611</v>
      </c>
      <c r="C214" s="4" t="s">
        <v>30</v>
      </c>
      <c r="D214" s="4" t="s">
        <v>612</v>
      </c>
      <c r="E214" s="4" t="s">
        <v>613</v>
      </c>
      <c r="F214" s="6">
        <f>14.1</f>
        <v>14.1</v>
      </c>
      <c r="G214" s="4" t="s">
        <v>46</v>
      </c>
      <c r="H214" s="7">
        <v>30.52</v>
      </c>
      <c r="I214" s="7">
        <v>30.52</v>
      </c>
      <c r="J214" s="8">
        <v>0.25</v>
      </c>
      <c r="K214" s="9">
        <f>38.15</f>
        <v>38.15</v>
      </c>
      <c r="L214" s="9">
        <f>537.92</f>
        <v>537.91999999999996</v>
      </c>
      <c r="M214" s="4"/>
      <c r="N214" s="10">
        <v>1</v>
      </c>
      <c r="O214" s="4" t="s">
        <v>26</v>
      </c>
      <c r="P214" s="11">
        <v>14.1</v>
      </c>
      <c r="Q214" s="9">
        <f>537.92</f>
        <v>537.91999999999996</v>
      </c>
    </row>
    <row r="215" spans="1:17" ht="45" customHeight="1" x14ac:dyDescent="0.25">
      <c r="A215" s="4" t="s">
        <v>20</v>
      </c>
      <c r="B215" s="5" t="s">
        <v>614</v>
      </c>
      <c r="C215" s="4" t="s">
        <v>30</v>
      </c>
      <c r="D215" s="4" t="s">
        <v>615</v>
      </c>
      <c r="E215" s="4" t="s">
        <v>616</v>
      </c>
      <c r="F215" s="6">
        <f>28.9</f>
        <v>28.9</v>
      </c>
      <c r="G215" s="4" t="s">
        <v>46</v>
      </c>
      <c r="H215" s="7">
        <v>34.700000000000003</v>
      </c>
      <c r="I215" s="7">
        <v>34.700000000000003</v>
      </c>
      <c r="J215" s="8">
        <v>0.25</v>
      </c>
      <c r="K215" s="9">
        <f>43.38</f>
        <v>43.38</v>
      </c>
      <c r="L215" s="9">
        <f>1253.68</f>
        <v>1253.68</v>
      </c>
      <c r="M215" s="4"/>
      <c r="N215" s="10">
        <v>1</v>
      </c>
      <c r="O215" s="4" t="s">
        <v>26</v>
      </c>
      <c r="P215" s="11">
        <v>28.9</v>
      </c>
      <c r="Q215" s="9">
        <f>1253.68</f>
        <v>1253.68</v>
      </c>
    </row>
    <row r="216" spans="1:17" ht="45" customHeight="1" x14ac:dyDescent="0.25">
      <c r="A216" s="4" t="s">
        <v>20</v>
      </c>
      <c r="B216" s="5" t="s">
        <v>617</v>
      </c>
      <c r="C216" s="4" t="s">
        <v>30</v>
      </c>
      <c r="D216" s="4" t="s">
        <v>618</v>
      </c>
      <c r="E216" s="4" t="s">
        <v>619</v>
      </c>
      <c r="F216" s="6">
        <f>24.7</f>
        <v>24.7</v>
      </c>
      <c r="G216" s="4" t="s">
        <v>46</v>
      </c>
      <c r="H216" s="7">
        <v>34.93</v>
      </c>
      <c r="I216" s="7">
        <v>34.93</v>
      </c>
      <c r="J216" s="8">
        <v>0.25</v>
      </c>
      <c r="K216" s="9">
        <f>43.66</f>
        <v>43.66</v>
      </c>
      <c r="L216" s="9">
        <f>1078.4</f>
        <v>1078.4000000000001</v>
      </c>
      <c r="M216" s="4"/>
      <c r="N216" s="10">
        <v>1</v>
      </c>
      <c r="O216" s="4" t="s">
        <v>26</v>
      </c>
      <c r="P216" s="11">
        <v>24.7</v>
      </c>
      <c r="Q216" s="9">
        <f>1078.4</f>
        <v>1078.4000000000001</v>
      </c>
    </row>
    <row r="217" spans="1:17" ht="45" customHeight="1" x14ac:dyDescent="0.25">
      <c r="A217" s="4" t="s">
        <v>20</v>
      </c>
      <c r="B217" s="5" t="s">
        <v>620</v>
      </c>
      <c r="C217" s="4" t="s">
        <v>30</v>
      </c>
      <c r="D217" s="4" t="s">
        <v>621</v>
      </c>
      <c r="E217" s="4" t="s">
        <v>622</v>
      </c>
      <c r="F217" s="6">
        <f>215.6</f>
        <v>215.6</v>
      </c>
      <c r="G217" s="4" t="s">
        <v>46</v>
      </c>
      <c r="H217" s="7">
        <v>78.5</v>
      </c>
      <c r="I217" s="7">
        <v>78.5</v>
      </c>
      <c r="J217" s="8">
        <v>0.25</v>
      </c>
      <c r="K217" s="9">
        <f>98.13</f>
        <v>98.13</v>
      </c>
      <c r="L217" s="9">
        <f>21156.83</f>
        <v>21156.83</v>
      </c>
      <c r="M217" s="4"/>
      <c r="N217" s="10">
        <v>1</v>
      </c>
      <c r="O217" s="4" t="s">
        <v>26</v>
      </c>
      <c r="P217" s="11">
        <v>215.6</v>
      </c>
      <c r="Q217" s="9">
        <f>21156.83</f>
        <v>21156.83</v>
      </c>
    </row>
    <row r="218" spans="1:17" ht="45" customHeight="1" x14ac:dyDescent="0.25">
      <c r="A218" s="4" t="s">
        <v>20</v>
      </c>
      <c r="B218" s="5" t="s">
        <v>623</v>
      </c>
      <c r="C218" s="4" t="s">
        <v>22</v>
      </c>
      <c r="D218" s="4" t="s">
        <v>624</v>
      </c>
      <c r="E218" s="4" t="s">
        <v>625</v>
      </c>
      <c r="F218" s="6">
        <f>14</f>
        <v>14</v>
      </c>
      <c r="G218" s="4" t="s">
        <v>25</v>
      </c>
      <c r="H218" s="7">
        <v>39.53</v>
      </c>
      <c r="I218" s="7">
        <v>39.51</v>
      </c>
      <c r="J218" s="8">
        <v>0.25</v>
      </c>
      <c r="K218" s="9">
        <f>49.39</f>
        <v>49.39</v>
      </c>
      <c r="L218" s="9">
        <f>691.46</f>
        <v>691.46</v>
      </c>
      <c r="M218" s="4"/>
      <c r="N218" s="10">
        <v>1</v>
      </c>
      <c r="O218" s="4" t="s">
        <v>26</v>
      </c>
      <c r="P218" s="11">
        <v>14</v>
      </c>
      <c r="Q218" s="9">
        <f>691.46</f>
        <v>691.46</v>
      </c>
    </row>
    <row r="219" spans="1:17" ht="45" customHeight="1" x14ac:dyDescent="0.25">
      <c r="A219" s="4" t="s">
        <v>20</v>
      </c>
      <c r="B219" s="5" t="s">
        <v>626</v>
      </c>
      <c r="C219" s="4" t="s">
        <v>30</v>
      </c>
      <c r="D219" s="4" t="s">
        <v>627</v>
      </c>
      <c r="E219" s="4" t="s">
        <v>628</v>
      </c>
      <c r="F219" s="6">
        <f>62</f>
        <v>62</v>
      </c>
      <c r="G219" s="4" t="s">
        <v>25</v>
      </c>
      <c r="H219" s="7">
        <v>6.95</v>
      </c>
      <c r="I219" s="7">
        <v>6.95</v>
      </c>
      <c r="J219" s="8">
        <v>0.25</v>
      </c>
      <c r="K219" s="9">
        <f>8.69</f>
        <v>8.69</v>
      </c>
      <c r="L219" s="9">
        <f>538.78</f>
        <v>538.78</v>
      </c>
      <c r="M219" s="4"/>
      <c r="N219" s="10">
        <v>1</v>
      </c>
      <c r="O219" s="4" t="s">
        <v>26</v>
      </c>
      <c r="P219" s="11">
        <v>62</v>
      </c>
      <c r="Q219" s="9">
        <f>538.78</f>
        <v>538.78</v>
      </c>
    </row>
    <row r="220" spans="1:17" ht="45" customHeight="1" x14ac:dyDescent="0.25">
      <c r="A220" s="4" t="s">
        <v>20</v>
      </c>
      <c r="B220" s="5" t="s">
        <v>629</v>
      </c>
      <c r="C220" s="4" t="s">
        <v>30</v>
      </c>
      <c r="D220" s="4" t="s">
        <v>630</v>
      </c>
      <c r="E220" s="4" t="s">
        <v>631</v>
      </c>
      <c r="F220" s="6">
        <f>2</f>
        <v>2</v>
      </c>
      <c r="G220" s="4" t="s">
        <v>25</v>
      </c>
      <c r="H220" s="7">
        <v>13.19</v>
      </c>
      <c r="I220" s="7">
        <v>13.19</v>
      </c>
      <c r="J220" s="8">
        <v>0.25</v>
      </c>
      <c r="K220" s="9">
        <f>16.49</f>
        <v>16.489999999999998</v>
      </c>
      <c r="L220" s="9">
        <f>32.98</f>
        <v>32.979999999999997</v>
      </c>
      <c r="M220" s="4"/>
      <c r="N220" s="10">
        <v>1</v>
      </c>
      <c r="O220" s="4" t="s">
        <v>26</v>
      </c>
      <c r="P220" s="11">
        <v>2</v>
      </c>
      <c r="Q220" s="9">
        <f>32.98</f>
        <v>32.979999999999997</v>
      </c>
    </row>
    <row r="221" spans="1:17" ht="45" customHeight="1" x14ac:dyDescent="0.25">
      <c r="A221" s="4" t="s">
        <v>20</v>
      </c>
      <c r="B221" s="5" t="s">
        <v>632</v>
      </c>
      <c r="C221" s="4" t="s">
        <v>30</v>
      </c>
      <c r="D221" s="4" t="s">
        <v>633</v>
      </c>
      <c r="E221" s="4" t="s">
        <v>634</v>
      </c>
      <c r="F221" s="6">
        <f>34</f>
        <v>34</v>
      </c>
      <c r="G221" s="4" t="s">
        <v>25</v>
      </c>
      <c r="H221" s="7">
        <v>15.86</v>
      </c>
      <c r="I221" s="7">
        <v>15.86</v>
      </c>
      <c r="J221" s="8">
        <v>0.25</v>
      </c>
      <c r="K221" s="9">
        <f>19.83</f>
        <v>19.829999999999998</v>
      </c>
      <c r="L221" s="9">
        <f>674.22</f>
        <v>674.22</v>
      </c>
      <c r="M221" s="4"/>
      <c r="N221" s="10">
        <v>1</v>
      </c>
      <c r="O221" s="4" t="s">
        <v>26</v>
      </c>
      <c r="P221" s="11">
        <v>34</v>
      </c>
      <c r="Q221" s="9">
        <f>674.22</f>
        <v>674.22</v>
      </c>
    </row>
    <row r="222" spans="1:17" ht="45" customHeight="1" x14ac:dyDescent="0.25">
      <c r="A222" s="4" t="s">
        <v>20</v>
      </c>
      <c r="B222" s="5" t="s">
        <v>635</v>
      </c>
      <c r="C222" s="4" t="s">
        <v>30</v>
      </c>
      <c r="D222" s="4" t="s">
        <v>636</v>
      </c>
      <c r="E222" s="4" t="s">
        <v>637</v>
      </c>
      <c r="F222" s="6">
        <f>16</f>
        <v>16</v>
      </c>
      <c r="G222" s="4" t="s">
        <v>25</v>
      </c>
      <c r="H222" s="7">
        <v>47.91</v>
      </c>
      <c r="I222" s="7">
        <v>47.91</v>
      </c>
      <c r="J222" s="8">
        <v>0.25</v>
      </c>
      <c r="K222" s="9">
        <f>59.89</f>
        <v>59.89</v>
      </c>
      <c r="L222" s="9">
        <f>958.24</f>
        <v>958.24</v>
      </c>
      <c r="M222" s="4"/>
      <c r="N222" s="10">
        <v>1</v>
      </c>
      <c r="O222" s="4" t="s">
        <v>26</v>
      </c>
      <c r="P222" s="11">
        <v>16</v>
      </c>
      <c r="Q222" s="9">
        <f>958.24</f>
        <v>958.24</v>
      </c>
    </row>
    <row r="223" spans="1:17" ht="45" customHeight="1" x14ac:dyDescent="0.25">
      <c r="A223" s="4" t="s">
        <v>20</v>
      </c>
      <c r="B223" s="5" t="s">
        <v>638</v>
      </c>
      <c r="C223" s="4" t="s">
        <v>30</v>
      </c>
      <c r="D223" s="4" t="s">
        <v>639</v>
      </c>
      <c r="E223" s="4" t="s">
        <v>640</v>
      </c>
      <c r="F223" s="6">
        <f>1</f>
        <v>1</v>
      </c>
      <c r="G223" s="4" t="s">
        <v>25</v>
      </c>
      <c r="H223" s="7">
        <v>8.94</v>
      </c>
      <c r="I223" s="7">
        <v>8.94</v>
      </c>
      <c r="J223" s="8">
        <v>0.25</v>
      </c>
      <c r="K223" s="9">
        <f>11.18</f>
        <v>11.18</v>
      </c>
      <c r="L223" s="9">
        <f>11.18</f>
        <v>11.18</v>
      </c>
      <c r="M223" s="4"/>
      <c r="N223" s="10">
        <v>1</v>
      </c>
      <c r="O223" s="4" t="s">
        <v>26</v>
      </c>
      <c r="P223" s="11">
        <v>1</v>
      </c>
      <c r="Q223" s="9">
        <f>11.18</f>
        <v>11.18</v>
      </c>
    </row>
    <row r="224" spans="1:17" ht="45" customHeight="1" x14ac:dyDescent="0.25">
      <c r="A224" s="4" t="s">
        <v>20</v>
      </c>
      <c r="B224" s="5" t="s">
        <v>641</v>
      </c>
      <c r="C224" s="4" t="s">
        <v>30</v>
      </c>
      <c r="D224" s="4" t="s">
        <v>642</v>
      </c>
      <c r="E224" s="4" t="s">
        <v>643</v>
      </c>
      <c r="F224" s="6">
        <f>1</f>
        <v>1</v>
      </c>
      <c r="G224" s="4" t="s">
        <v>25</v>
      </c>
      <c r="H224" s="7">
        <v>11.22</v>
      </c>
      <c r="I224" s="7">
        <v>11.22</v>
      </c>
      <c r="J224" s="8">
        <v>0.25</v>
      </c>
      <c r="K224" s="9">
        <f>14.03</f>
        <v>14.03</v>
      </c>
      <c r="L224" s="9">
        <f>14.03</f>
        <v>14.03</v>
      </c>
      <c r="M224" s="4"/>
      <c r="N224" s="10">
        <v>1</v>
      </c>
      <c r="O224" s="4" t="s">
        <v>26</v>
      </c>
      <c r="P224" s="11">
        <v>1</v>
      </c>
      <c r="Q224" s="9">
        <f>14.03</f>
        <v>14.03</v>
      </c>
    </row>
    <row r="225" spans="1:17" ht="45" customHeight="1" x14ac:dyDescent="0.25">
      <c r="A225" s="4" t="s">
        <v>20</v>
      </c>
      <c r="B225" s="5" t="s">
        <v>644</v>
      </c>
      <c r="C225" s="4" t="s">
        <v>30</v>
      </c>
      <c r="D225" s="4" t="s">
        <v>645</v>
      </c>
      <c r="E225" s="4" t="s">
        <v>646</v>
      </c>
      <c r="F225" s="6">
        <f>1</f>
        <v>1</v>
      </c>
      <c r="G225" s="4" t="s">
        <v>25</v>
      </c>
      <c r="H225" s="7">
        <v>16.93</v>
      </c>
      <c r="I225" s="7">
        <v>16.93</v>
      </c>
      <c r="J225" s="8">
        <v>0.25</v>
      </c>
      <c r="K225" s="9">
        <f>21.16</f>
        <v>21.16</v>
      </c>
      <c r="L225" s="9">
        <f>21.16</f>
        <v>21.16</v>
      </c>
      <c r="M225" s="4"/>
      <c r="N225" s="10">
        <v>1</v>
      </c>
      <c r="O225" s="4" t="s">
        <v>26</v>
      </c>
      <c r="P225" s="11">
        <v>1</v>
      </c>
      <c r="Q225" s="9">
        <f>21.16</f>
        <v>21.16</v>
      </c>
    </row>
    <row r="226" spans="1:17" ht="45" customHeight="1" x14ac:dyDescent="0.25">
      <c r="A226" s="4" t="s">
        <v>20</v>
      </c>
      <c r="B226" s="5" t="s">
        <v>647</v>
      </c>
      <c r="C226" s="4" t="s">
        <v>30</v>
      </c>
      <c r="D226" s="4" t="s">
        <v>648</v>
      </c>
      <c r="E226" s="4" t="s">
        <v>649</v>
      </c>
      <c r="F226" s="6">
        <f>3</f>
        <v>3</v>
      </c>
      <c r="G226" s="4" t="s">
        <v>25</v>
      </c>
      <c r="H226" s="7">
        <v>23.61</v>
      </c>
      <c r="I226" s="7">
        <v>23.61</v>
      </c>
      <c r="J226" s="8">
        <v>0.25</v>
      </c>
      <c r="K226" s="9">
        <f>29.51</f>
        <v>29.51</v>
      </c>
      <c r="L226" s="9">
        <f>88.53</f>
        <v>88.53</v>
      </c>
      <c r="M226" s="4"/>
      <c r="N226" s="10">
        <v>1</v>
      </c>
      <c r="O226" s="4" t="s">
        <v>26</v>
      </c>
      <c r="P226" s="11">
        <v>3</v>
      </c>
      <c r="Q226" s="9">
        <f>88.53</f>
        <v>88.53</v>
      </c>
    </row>
    <row r="227" spans="1:17" ht="45" customHeight="1" x14ac:dyDescent="0.25">
      <c r="A227" s="4" t="s">
        <v>20</v>
      </c>
      <c r="B227" s="5" t="s">
        <v>650</v>
      </c>
      <c r="C227" s="4" t="s">
        <v>30</v>
      </c>
      <c r="D227" s="4" t="s">
        <v>651</v>
      </c>
      <c r="E227" s="4" t="s">
        <v>652</v>
      </c>
      <c r="F227" s="6">
        <f>10</f>
        <v>10</v>
      </c>
      <c r="G227" s="4" t="s">
        <v>25</v>
      </c>
      <c r="H227" s="7">
        <v>17.53</v>
      </c>
      <c r="I227" s="7">
        <v>17.53</v>
      </c>
      <c r="J227" s="8">
        <v>0.25</v>
      </c>
      <c r="K227" s="9">
        <f>21.91</f>
        <v>21.91</v>
      </c>
      <c r="L227" s="9">
        <f>219.1</f>
        <v>219.1</v>
      </c>
      <c r="M227" s="4"/>
      <c r="N227" s="10">
        <v>1</v>
      </c>
      <c r="O227" s="4" t="s">
        <v>26</v>
      </c>
      <c r="P227" s="11">
        <v>10</v>
      </c>
      <c r="Q227" s="9">
        <f>219.1</f>
        <v>219.1</v>
      </c>
    </row>
    <row r="228" spans="1:17" ht="45" customHeight="1" x14ac:dyDescent="0.25">
      <c r="A228" s="4" t="s">
        <v>20</v>
      </c>
      <c r="B228" s="5" t="s">
        <v>653</v>
      </c>
      <c r="C228" s="4" t="s">
        <v>30</v>
      </c>
      <c r="D228" s="4" t="s">
        <v>654</v>
      </c>
      <c r="E228" s="4" t="s">
        <v>655</v>
      </c>
      <c r="F228" s="6">
        <f>21</f>
        <v>21</v>
      </c>
      <c r="G228" s="4" t="s">
        <v>25</v>
      </c>
      <c r="H228" s="7">
        <v>19.559999999999999</v>
      </c>
      <c r="I228" s="7">
        <v>19.559999999999999</v>
      </c>
      <c r="J228" s="8">
        <v>0.25</v>
      </c>
      <c r="K228" s="9">
        <f>24.45</f>
        <v>24.45</v>
      </c>
      <c r="L228" s="9">
        <f>513.45</f>
        <v>513.45000000000005</v>
      </c>
      <c r="M228" s="4"/>
      <c r="N228" s="10">
        <v>1</v>
      </c>
      <c r="O228" s="4" t="s">
        <v>26</v>
      </c>
      <c r="P228" s="11">
        <v>21</v>
      </c>
      <c r="Q228" s="9">
        <f>513.45</f>
        <v>513.45000000000005</v>
      </c>
    </row>
    <row r="229" spans="1:17" ht="45" customHeight="1" x14ac:dyDescent="0.25">
      <c r="A229" s="4" t="s">
        <v>20</v>
      </c>
      <c r="B229" s="5" t="s">
        <v>656</v>
      </c>
      <c r="C229" s="4" t="s">
        <v>22</v>
      </c>
      <c r="D229" s="4" t="s">
        <v>657</v>
      </c>
      <c r="E229" s="4" t="s">
        <v>658</v>
      </c>
      <c r="F229" s="6">
        <f>21</f>
        <v>21</v>
      </c>
      <c r="G229" s="4" t="s">
        <v>25</v>
      </c>
      <c r="H229" s="7">
        <v>34.130000000000003</v>
      </c>
      <c r="I229" s="7">
        <v>34.119999999999997</v>
      </c>
      <c r="J229" s="8">
        <v>0.25</v>
      </c>
      <c r="K229" s="9">
        <f>42.65</f>
        <v>42.65</v>
      </c>
      <c r="L229" s="9">
        <f>895.65</f>
        <v>895.65</v>
      </c>
      <c r="M229" s="4"/>
      <c r="N229" s="10">
        <v>1</v>
      </c>
      <c r="O229" s="4" t="s">
        <v>26</v>
      </c>
      <c r="P229" s="11">
        <v>21</v>
      </c>
      <c r="Q229" s="9">
        <f>895.65</f>
        <v>895.65</v>
      </c>
    </row>
    <row r="230" spans="1:17" ht="45" customHeight="1" x14ac:dyDescent="0.25">
      <c r="A230" s="4" t="s">
        <v>20</v>
      </c>
      <c r="B230" s="5" t="s">
        <v>659</v>
      </c>
      <c r="C230" s="4" t="s">
        <v>30</v>
      </c>
      <c r="D230" s="4" t="s">
        <v>660</v>
      </c>
      <c r="E230" s="4" t="s">
        <v>661</v>
      </c>
      <c r="F230" s="6">
        <f>1</f>
        <v>1</v>
      </c>
      <c r="G230" s="4" t="s">
        <v>25</v>
      </c>
      <c r="H230" s="7">
        <v>32.840000000000003</v>
      </c>
      <c r="I230" s="7">
        <v>32.840000000000003</v>
      </c>
      <c r="J230" s="8">
        <v>0.25</v>
      </c>
      <c r="K230" s="9">
        <f>41.05</f>
        <v>41.05</v>
      </c>
      <c r="L230" s="9">
        <f>41.05</f>
        <v>41.05</v>
      </c>
      <c r="M230" s="4"/>
      <c r="N230" s="10">
        <v>1</v>
      </c>
      <c r="O230" s="4" t="s">
        <v>26</v>
      </c>
      <c r="P230" s="11">
        <v>1</v>
      </c>
      <c r="Q230" s="9">
        <f>41.05</f>
        <v>41.05</v>
      </c>
    </row>
    <row r="231" spans="1:17" ht="45" customHeight="1" x14ac:dyDescent="0.25">
      <c r="A231" s="4" t="s">
        <v>20</v>
      </c>
      <c r="B231" s="5" t="s">
        <v>662</v>
      </c>
      <c r="C231" s="4" t="s">
        <v>30</v>
      </c>
      <c r="D231" s="4" t="s">
        <v>663</v>
      </c>
      <c r="E231" s="4" t="s">
        <v>664</v>
      </c>
      <c r="F231" s="6">
        <f>16</f>
        <v>16</v>
      </c>
      <c r="G231" s="4" t="s">
        <v>25</v>
      </c>
      <c r="H231" s="7">
        <v>32.24</v>
      </c>
      <c r="I231" s="7">
        <v>32.24</v>
      </c>
      <c r="J231" s="8">
        <v>0.25</v>
      </c>
      <c r="K231" s="9">
        <f>40.3</f>
        <v>40.299999999999997</v>
      </c>
      <c r="L231" s="9">
        <f>644.8</f>
        <v>644.79999999999995</v>
      </c>
      <c r="M231" s="4"/>
      <c r="N231" s="10">
        <v>1</v>
      </c>
      <c r="O231" s="4" t="s">
        <v>26</v>
      </c>
      <c r="P231" s="11">
        <v>16</v>
      </c>
      <c r="Q231" s="9">
        <f>644.8</f>
        <v>644.79999999999995</v>
      </c>
    </row>
    <row r="232" spans="1:17" ht="45" customHeight="1" x14ac:dyDescent="0.25">
      <c r="A232" s="4" t="s">
        <v>20</v>
      </c>
      <c r="B232" s="5" t="s">
        <v>665</v>
      </c>
      <c r="C232" s="4" t="s">
        <v>30</v>
      </c>
      <c r="D232" s="4" t="s">
        <v>666</v>
      </c>
      <c r="E232" s="4" t="s">
        <v>667</v>
      </c>
      <c r="F232" s="6">
        <f>130</f>
        <v>130</v>
      </c>
      <c r="G232" s="4" t="s">
        <v>25</v>
      </c>
      <c r="H232" s="7">
        <v>9.7799999999999994</v>
      </c>
      <c r="I232" s="7">
        <v>9.7799999999999994</v>
      </c>
      <c r="J232" s="8">
        <v>0.25</v>
      </c>
      <c r="K232" s="9">
        <f>12.23</f>
        <v>12.23</v>
      </c>
      <c r="L232" s="9">
        <f>1589.9</f>
        <v>1589.9</v>
      </c>
      <c r="M232" s="4"/>
      <c r="N232" s="10">
        <v>1</v>
      </c>
      <c r="O232" s="4" t="s">
        <v>26</v>
      </c>
      <c r="P232" s="11">
        <v>130</v>
      </c>
      <c r="Q232" s="9">
        <f>1589.9</f>
        <v>1589.9</v>
      </c>
    </row>
    <row r="233" spans="1:17" ht="45" customHeight="1" x14ac:dyDescent="0.25">
      <c r="A233" s="4" t="s">
        <v>20</v>
      </c>
      <c r="B233" s="5" t="s">
        <v>668</v>
      </c>
      <c r="C233" s="4" t="s">
        <v>30</v>
      </c>
      <c r="D233" s="4" t="s">
        <v>669</v>
      </c>
      <c r="E233" s="4" t="s">
        <v>670</v>
      </c>
      <c r="F233" s="6">
        <f>2</f>
        <v>2</v>
      </c>
      <c r="G233" s="4" t="s">
        <v>25</v>
      </c>
      <c r="H233" s="7">
        <v>20.22</v>
      </c>
      <c r="I233" s="7">
        <v>20.22</v>
      </c>
      <c r="J233" s="8">
        <v>0.25</v>
      </c>
      <c r="K233" s="9">
        <f>25.28</f>
        <v>25.28</v>
      </c>
      <c r="L233" s="9">
        <f>50.56</f>
        <v>50.56</v>
      </c>
      <c r="M233" s="4"/>
      <c r="N233" s="10">
        <v>1</v>
      </c>
      <c r="O233" s="4" t="s">
        <v>26</v>
      </c>
      <c r="P233" s="11">
        <v>2</v>
      </c>
      <c r="Q233" s="9">
        <f>50.56</f>
        <v>50.56</v>
      </c>
    </row>
    <row r="234" spans="1:17" ht="45" customHeight="1" x14ac:dyDescent="0.25">
      <c r="A234" s="4" t="s">
        <v>20</v>
      </c>
      <c r="B234" s="5" t="s">
        <v>671</v>
      </c>
      <c r="C234" s="4" t="s">
        <v>30</v>
      </c>
      <c r="D234" s="4" t="s">
        <v>672</v>
      </c>
      <c r="E234" s="4" t="s">
        <v>673</v>
      </c>
      <c r="F234" s="6">
        <f>6</f>
        <v>6</v>
      </c>
      <c r="G234" s="4" t="s">
        <v>25</v>
      </c>
      <c r="H234" s="7">
        <v>48.5</v>
      </c>
      <c r="I234" s="7">
        <v>48.5</v>
      </c>
      <c r="J234" s="8">
        <v>0.25</v>
      </c>
      <c r="K234" s="9">
        <f>60.63</f>
        <v>60.63</v>
      </c>
      <c r="L234" s="9">
        <f>363.78</f>
        <v>363.78</v>
      </c>
      <c r="M234" s="4"/>
      <c r="N234" s="10">
        <v>1</v>
      </c>
      <c r="O234" s="4" t="s">
        <v>26</v>
      </c>
      <c r="P234" s="11">
        <v>6</v>
      </c>
      <c r="Q234" s="9">
        <f>363.78</f>
        <v>363.78</v>
      </c>
    </row>
    <row r="235" spans="1:17" ht="45" customHeight="1" x14ac:dyDescent="0.25">
      <c r="A235" s="4" t="s">
        <v>20</v>
      </c>
      <c r="B235" s="5" t="s">
        <v>674</v>
      </c>
      <c r="C235" s="4" t="s">
        <v>30</v>
      </c>
      <c r="D235" s="4" t="s">
        <v>675</v>
      </c>
      <c r="E235" s="4" t="s">
        <v>676</v>
      </c>
      <c r="F235" s="6">
        <f>26</f>
        <v>26</v>
      </c>
      <c r="G235" s="4" t="s">
        <v>25</v>
      </c>
      <c r="H235" s="7">
        <v>145.47</v>
      </c>
      <c r="I235" s="7">
        <v>145.47</v>
      </c>
      <c r="J235" s="8">
        <v>0.25</v>
      </c>
      <c r="K235" s="9">
        <f>181.84</f>
        <v>181.84</v>
      </c>
      <c r="L235" s="9">
        <f>4727.84</f>
        <v>4727.84</v>
      </c>
      <c r="M235" s="4"/>
      <c r="N235" s="10">
        <v>1</v>
      </c>
      <c r="O235" s="4" t="s">
        <v>26</v>
      </c>
      <c r="P235" s="11">
        <v>26</v>
      </c>
      <c r="Q235" s="9">
        <f>4727.84</f>
        <v>4727.84</v>
      </c>
    </row>
    <row r="236" spans="1:17" ht="45" customHeight="1" x14ac:dyDescent="0.25">
      <c r="A236" s="4" t="s">
        <v>20</v>
      </c>
      <c r="B236" s="5" t="s">
        <v>677</v>
      </c>
      <c r="C236" s="4" t="s">
        <v>22</v>
      </c>
      <c r="D236" s="4" t="s">
        <v>678</v>
      </c>
      <c r="E236" s="4" t="s">
        <v>679</v>
      </c>
      <c r="F236" s="6">
        <f>4</f>
        <v>4</v>
      </c>
      <c r="G236" s="4" t="s">
        <v>25</v>
      </c>
      <c r="H236" s="7">
        <v>9.82</v>
      </c>
      <c r="I236" s="7">
        <v>9.7799999999999994</v>
      </c>
      <c r="J236" s="8">
        <v>0.25</v>
      </c>
      <c r="K236" s="9">
        <f>12.23</f>
        <v>12.23</v>
      </c>
      <c r="L236" s="9">
        <f>48.92</f>
        <v>48.92</v>
      </c>
      <c r="M236" s="4"/>
      <c r="N236" s="10">
        <v>1</v>
      </c>
      <c r="O236" s="4" t="s">
        <v>26</v>
      </c>
      <c r="P236" s="11">
        <v>4</v>
      </c>
      <c r="Q236" s="9">
        <f>48.92</f>
        <v>48.92</v>
      </c>
    </row>
    <row r="237" spans="1:17" ht="45" customHeight="1" x14ac:dyDescent="0.25">
      <c r="A237" s="4" t="s">
        <v>20</v>
      </c>
      <c r="B237" s="5" t="s">
        <v>680</v>
      </c>
      <c r="C237" s="4" t="s">
        <v>30</v>
      </c>
      <c r="D237" s="4" t="s">
        <v>681</v>
      </c>
      <c r="E237" s="4" t="s">
        <v>682</v>
      </c>
      <c r="F237" s="6">
        <f>1</f>
        <v>1</v>
      </c>
      <c r="G237" s="4" t="s">
        <v>25</v>
      </c>
      <c r="H237" s="7">
        <v>10.73</v>
      </c>
      <c r="I237" s="7">
        <v>10.73</v>
      </c>
      <c r="J237" s="8">
        <v>0.25</v>
      </c>
      <c r="K237" s="9">
        <f>13.41</f>
        <v>13.41</v>
      </c>
      <c r="L237" s="9">
        <f>13.41</f>
        <v>13.41</v>
      </c>
      <c r="M237" s="4"/>
      <c r="N237" s="10">
        <v>1</v>
      </c>
      <c r="O237" s="4" t="s">
        <v>26</v>
      </c>
      <c r="P237" s="11">
        <v>1</v>
      </c>
      <c r="Q237" s="9">
        <f>13.41</f>
        <v>13.41</v>
      </c>
    </row>
    <row r="238" spans="1:17" ht="45" customHeight="1" x14ac:dyDescent="0.25">
      <c r="A238" s="4" t="s">
        <v>20</v>
      </c>
      <c r="B238" s="5" t="s">
        <v>683</v>
      </c>
      <c r="C238" s="4" t="s">
        <v>30</v>
      </c>
      <c r="D238" s="4" t="s">
        <v>684</v>
      </c>
      <c r="E238" s="4" t="s">
        <v>685</v>
      </c>
      <c r="F238" s="6">
        <f>1</f>
        <v>1</v>
      </c>
      <c r="G238" s="4" t="s">
        <v>25</v>
      </c>
      <c r="H238" s="7">
        <v>16.22</v>
      </c>
      <c r="I238" s="7">
        <v>16.22</v>
      </c>
      <c r="J238" s="8">
        <v>0.25</v>
      </c>
      <c r="K238" s="9">
        <f>20.28</f>
        <v>20.28</v>
      </c>
      <c r="L238" s="9">
        <f>20.28</f>
        <v>20.28</v>
      </c>
      <c r="M238" s="4"/>
      <c r="N238" s="10">
        <v>1</v>
      </c>
      <c r="O238" s="4" t="s">
        <v>26</v>
      </c>
      <c r="P238" s="11">
        <v>1</v>
      </c>
      <c r="Q238" s="9">
        <f>20.28</f>
        <v>20.28</v>
      </c>
    </row>
    <row r="239" spans="1:17" ht="45" customHeight="1" x14ac:dyDescent="0.25">
      <c r="A239" s="4" t="s">
        <v>20</v>
      </c>
      <c r="B239" s="5" t="s">
        <v>686</v>
      </c>
      <c r="C239" s="4" t="s">
        <v>30</v>
      </c>
      <c r="D239" s="4" t="s">
        <v>687</v>
      </c>
      <c r="E239" s="4" t="s">
        <v>688</v>
      </c>
      <c r="F239" s="6">
        <f>36</f>
        <v>36</v>
      </c>
      <c r="G239" s="4" t="s">
        <v>25</v>
      </c>
      <c r="H239" s="7">
        <v>18.920000000000002</v>
      </c>
      <c r="I239" s="7">
        <v>18.920000000000002</v>
      </c>
      <c r="J239" s="8">
        <v>0.25</v>
      </c>
      <c r="K239" s="9">
        <f>23.65</f>
        <v>23.65</v>
      </c>
      <c r="L239" s="9">
        <f>851.4</f>
        <v>851.4</v>
      </c>
      <c r="M239" s="4"/>
      <c r="N239" s="10">
        <v>1</v>
      </c>
      <c r="O239" s="4" t="s">
        <v>26</v>
      </c>
      <c r="P239" s="11">
        <v>36</v>
      </c>
      <c r="Q239" s="9">
        <f>851.4</f>
        <v>851.4</v>
      </c>
    </row>
    <row r="240" spans="1:17" ht="45" customHeight="1" x14ac:dyDescent="0.25">
      <c r="A240" s="4" t="s">
        <v>20</v>
      </c>
      <c r="B240" s="5" t="s">
        <v>689</v>
      </c>
      <c r="C240" s="4" t="s">
        <v>30</v>
      </c>
      <c r="D240" s="4" t="s">
        <v>690</v>
      </c>
      <c r="E240" s="4" t="s">
        <v>691</v>
      </c>
      <c r="F240" s="6">
        <f>41</f>
        <v>41</v>
      </c>
      <c r="G240" s="4" t="s">
        <v>25</v>
      </c>
      <c r="H240" s="7">
        <v>15.01</v>
      </c>
      <c r="I240" s="7">
        <v>15.01</v>
      </c>
      <c r="J240" s="8">
        <v>0.25</v>
      </c>
      <c r="K240" s="9">
        <f>18.76</f>
        <v>18.760000000000002</v>
      </c>
      <c r="L240" s="9">
        <f>769.16</f>
        <v>769.16</v>
      </c>
      <c r="M240" s="4"/>
      <c r="N240" s="10">
        <v>1</v>
      </c>
      <c r="O240" s="4" t="s">
        <v>26</v>
      </c>
      <c r="P240" s="11">
        <v>41</v>
      </c>
      <c r="Q240" s="9">
        <f>769.16</f>
        <v>769.16</v>
      </c>
    </row>
    <row r="241" spans="1:17" ht="45" customHeight="1" x14ac:dyDescent="0.25">
      <c r="A241" s="4" t="s">
        <v>20</v>
      </c>
      <c r="B241" s="5" t="s">
        <v>692</v>
      </c>
      <c r="C241" s="4" t="s">
        <v>30</v>
      </c>
      <c r="D241" s="4" t="s">
        <v>693</v>
      </c>
      <c r="E241" s="4" t="s">
        <v>694</v>
      </c>
      <c r="F241" s="6">
        <f>2</f>
        <v>2</v>
      </c>
      <c r="G241" s="4" t="s">
        <v>25</v>
      </c>
      <c r="H241" s="7">
        <v>7.41</v>
      </c>
      <c r="I241" s="7">
        <v>7.41</v>
      </c>
      <c r="J241" s="8">
        <v>0.25</v>
      </c>
      <c r="K241" s="9">
        <f>9.26</f>
        <v>9.26</v>
      </c>
      <c r="L241" s="9">
        <f>18.52</f>
        <v>18.52</v>
      </c>
      <c r="M241" s="4"/>
      <c r="N241" s="10">
        <v>1</v>
      </c>
      <c r="O241" s="4" t="s">
        <v>26</v>
      </c>
      <c r="P241" s="11">
        <v>2</v>
      </c>
      <c r="Q241" s="9">
        <f>18.52</f>
        <v>18.52</v>
      </c>
    </row>
    <row r="242" spans="1:17" ht="45" customHeight="1" x14ac:dyDescent="0.25">
      <c r="A242" s="4" t="s">
        <v>20</v>
      </c>
      <c r="B242" s="5" t="s">
        <v>695</v>
      </c>
      <c r="C242" s="4" t="s">
        <v>30</v>
      </c>
      <c r="D242" s="4" t="s">
        <v>696</v>
      </c>
      <c r="E242" s="4" t="s">
        <v>697</v>
      </c>
      <c r="F242" s="6">
        <f>1</f>
        <v>1</v>
      </c>
      <c r="G242" s="4" t="s">
        <v>25</v>
      </c>
      <c r="H242" s="7">
        <v>11</v>
      </c>
      <c r="I242" s="7">
        <v>11</v>
      </c>
      <c r="J242" s="8">
        <v>0.25</v>
      </c>
      <c r="K242" s="9">
        <f>13.75</f>
        <v>13.75</v>
      </c>
      <c r="L242" s="9">
        <f>13.75</f>
        <v>13.75</v>
      </c>
      <c r="M242" s="4"/>
      <c r="N242" s="10">
        <v>1</v>
      </c>
      <c r="O242" s="4" t="s">
        <v>26</v>
      </c>
      <c r="P242" s="11">
        <v>1</v>
      </c>
      <c r="Q242" s="9">
        <f>13.75</f>
        <v>13.75</v>
      </c>
    </row>
    <row r="243" spans="1:17" ht="45" customHeight="1" x14ac:dyDescent="0.25">
      <c r="A243" s="4" t="s">
        <v>20</v>
      </c>
      <c r="B243" s="5" t="s">
        <v>698</v>
      </c>
      <c r="C243" s="4" t="s">
        <v>30</v>
      </c>
      <c r="D243" s="4" t="s">
        <v>699</v>
      </c>
      <c r="E243" s="4" t="s">
        <v>700</v>
      </c>
      <c r="F243" s="6">
        <f>1</f>
        <v>1</v>
      </c>
      <c r="G243" s="4" t="s">
        <v>25</v>
      </c>
      <c r="H243" s="7">
        <v>14.68</v>
      </c>
      <c r="I243" s="7">
        <v>14.68</v>
      </c>
      <c r="J243" s="8">
        <v>0.25</v>
      </c>
      <c r="K243" s="9">
        <f>18.35</f>
        <v>18.350000000000001</v>
      </c>
      <c r="L243" s="9">
        <f>18.35</f>
        <v>18.350000000000001</v>
      </c>
      <c r="M243" s="4"/>
      <c r="N243" s="10">
        <v>1</v>
      </c>
      <c r="O243" s="4" t="s">
        <v>26</v>
      </c>
      <c r="P243" s="11">
        <v>1</v>
      </c>
      <c r="Q243" s="9">
        <f>18.35</f>
        <v>18.350000000000001</v>
      </c>
    </row>
    <row r="244" spans="1:17" ht="45" customHeight="1" x14ac:dyDescent="0.25">
      <c r="A244" s="4" t="s">
        <v>20</v>
      </c>
      <c r="B244" s="5" t="s">
        <v>701</v>
      </c>
      <c r="C244" s="4" t="s">
        <v>30</v>
      </c>
      <c r="D244" s="4" t="s">
        <v>702</v>
      </c>
      <c r="E244" s="4" t="s">
        <v>703</v>
      </c>
      <c r="F244" s="6">
        <f>2</f>
        <v>2</v>
      </c>
      <c r="G244" s="4" t="s">
        <v>25</v>
      </c>
      <c r="H244" s="7">
        <v>17.36</v>
      </c>
      <c r="I244" s="7">
        <v>17.36</v>
      </c>
      <c r="J244" s="8">
        <v>0.25</v>
      </c>
      <c r="K244" s="9">
        <f>21.7</f>
        <v>21.7</v>
      </c>
      <c r="L244" s="9">
        <f>43.4</f>
        <v>43.4</v>
      </c>
      <c r="M244" s="4"/>
      <c r="N244" s="10">
        <v>1</v>
      </c>
      <c r="O244" s="4" t="s">
        <v>26</v>
      </c>
      <c r="P244" s="11">
        <v>2</v>
      </c>
      <c r="Q244" s="9">
        <f>43.4</f>
        <v>43.4</v>
      </c>
    </row>
    <row r="245" spans="1:17" ht="45" customHeight="1" x14ac:dyDescent="0.25">
      <c r="A245" s="4" t="s">
        <v>20</v>
      </c>
      <c r="B245" s="5" t="s">
        <v>704</v>
      </c>
      <c r="C245" s="4" t="s">
        <v>30</v>
      </c>
      <c r="D245" s="4" t="s">
        <v>705</v>
      </c>
      <c r="E245" s="4" t="s">
        <v>706</v>
      </c>
      <c r="F245" s="6">
        <f>25</f>
        <v>25</v>
      </c>
      <c r="G245" s="4" t="s">
        <v>25</v>
      </c>
      <c r="H245" s="7">
        <v>26.57</v>
      </c>
      <c r="I245" s="7">
        <v>26.57</v>
      </c>
      <c r="J245" s="8">
        <v>0.25</v>
      </c>
      <c r="K245" s="9">
        <f>33.21</f>
        <v>33.21</v>
      </c>
      <c r="L245" s="9">
        <f>830.25</f>
        <v>830.25</v>
      </c>
      <c r="M245" s="4"/>
      <c r="N245" s="10">
        <v>1</v>
      </c>
      <c r="O245" s="4" t="s">
        <v>26</v>
      </c>
      <c r="P245" s="11">
        <v>25</v>
      </c>
      <c r="Q245" s="9">
        <f>830.25</f>
        <v>830.25</v>
      </c>
    </row>
    <row r="246" spans="1:17" ht="45" customHeight="1" x14ac:dyDescent="0.25">
      <c r="A246" s="4" t="s">
        <v>20</v>
      </c>
      <c r="B246" s="5" t="s">
        <v>707</v>
      </c>
      <c r="C246" s="4" t="s">
        <v>30</v>
      </c>
      <c r="D246" s="4" t="s">
        <v>708</v>
      </c>
      <c r="E246" s="4" t="s">
        <v>709</v>
      </c>
      <c r="F246" s="6">
        <f>1</f>
        <v>1</v>
      </c>
      <c r="G246" s="4" t="s">
        <v>25</v>
      </c>
      <c r="H246" s="7">
        <v>70.150000000000006</v>
      </c>
      <c r="I246" s="7">
        <v>70.150000000000006</v>
      </c>
      <c r="J246" s="8">
        <v>0.25</v>
      </c>
      <c r="K246" s="9">
        <f>87.69</f>
        <v>87.69</v>
      </c>
      <c r="L246" s="9">
        <f>87.69</f>
        <v>87.69</v>
      </c>
      <c r="M246" s="4"/>
      <c r="N246" s="10">
        <v>1</v>
      </c>
      <c r="O246" s="4" t="s">
        <v>26</v>
      </c>
      <c r="P246" s="11">
        <v>1</v>
      </c>
      <c r="Q246" s="9">
        <f>87.69</f>
        <v>87.69</v>
      </c>
    </row>
    <row r="247" spans="1:17" ht="45" customHeight="1" x14ac:dyDescent="0.25">
      <c r="A247" s="4" t="s">
        <v>20</v>
      </c>
      <c r="B247" s="5" t="s">
        <v>710</v>
      </c>
      <c r="C247" s="4" t="s">
        <v>30</v>
      </c>
      <c r="D247" s="4" t="s">
        <v>711</v>
      </c>
      <c r="E247" s="4" t="s">
        <v>712</v>
      </c>
      <c r="F247" s="6">
        <f>38</f>
        <v>38</v>
      </c>
      <c r="G247" s="4" t="s">
        <v>25</v>
      </c>
      <c r="H247" s="7">
        <v>13.57</v>
      </c>
      <c r="I247" s="7">
        <v>13.57</v>
      </c>
      <c r="J247" s="8">
        <v>0.25</v>
      </c>
      <c r="K247" s="9">
        <f>16.96</f>
        <v>16.96</v>
      </c>
      <c r="L247" s="9">
        <f>644.48</f>
        <v>644.48</v>
      </c>
      <c r="M247" s="4"/>
      <c r="N247" s="10">
        <v>1</v>
      </c>
      <c r="O247" s="4" t="s">
        <v>26</v>
      </c>
      <c r="P247" s="11">
        <v>38</v>
      </c>
      <c r="Q247" s="9">
        <f>644.48</f>
        <v>644.48</v>
      </c>
    </row>
    <row r="248" spans="1:17" ht="45" customHeight="1" x14ac:dyDescent="0.25">
      <c r="A248" s="4" t="s">
        <v>20</v>
      </c>
      <c r="B248" s="5" t="s">
        <v>713</v>
      </c>
      <c r="C248" s="4" t="s">
        <v>30</v>
      </c>
      <c r="D248" s="4" t="s">
        <v>714</v>
      </c>
      <c r="E248" s="4" t="s">
        <v>715</v>
      </c>
      <c r="F248" s="6">
        <f>1</f>
        <v>1</v>
      </c>
      <c r="G248" s="4" t="s">
        <v>25</v>
      </c>
      <c r="H248" s="7">
        <v>29.02</v>
      </c>
      <c r="I248" s="7">
        <v>29.02</v>
      </c>
      <c r="J248" s="8">
        <v>0.25</v>
      </c>
      <c r="K248" s="9">
        <f>36.28</f>
        <v>36.28</v>
      </c>
      <c r="L248" s="9">
        <f>36.28</f>
        <v>36.28</v>
      </c>
      <c r="M248" s="4"/>
      <c r="N248" s="10">
        <v>1</v>
      </c>
      <c r="O248" s="4" t="s">
        <v>26</v>
      </c>
      <c r="P248" s="11">
        <v>1</v>
      </c>
      <c r="Q248" s="9">
        <f>36.28</f>
        <v>36.28</v>
      </c>
    </row>
    <row r="249" spans="1:17" ht="45" customHeight="1" x14ac:dyDescent="0.25">
      <c r="A249" s="4" t="s">
        <v>20</v>
      </c>
      <c r="B249" s="5" t="s">
        <v>716</v>
      </c>
      <c r="C249" s="4" t="s">
        <v>30</v>
      </c>
      <c r="D249" s="4" t="s">
        <v>717</v>
      </c>
      <c r="E249" s="4" t="s">
        <v>718</v>
      </c>
      <c r="F249" s="6">
        <f>4</f>
        <v>4</v>
      </c>
      <c r="G249" s="4" t="s">
        <v>25</v>
      </c>
      <c r="H249" s="7">
        <v>34.049999999999997</v>
      </c>
      <c r="I249" s="7">
        <v>34.049999999999997</v>
      </c>
      <c r="J249" s="8">
        <v>0.25</v>
      </c>
      <c r="K249" s="9">
        <f>42.56</f>
        <v>42.56</v>
      </c>
      <c r="L249" s="9">
        <f>170.24</f>
        <v>170.24</v>
      </c>
      <c r="M249" s="4"/>
      <c r="N249" s="10">
        <v>1</v>
      </c>
      <c r="O249" s="4" t="s">
        <v>26</v>
      </c>
      <c r="P249" s="11">
        <v>4</v>
      </c>
      <c r="Q249" s="9">
        <f>170.24</f>
        <v>170.24</v>
      </c>
    </row>
    <row r="250" spans="1:17" ht="45" customHeight="1" x14ac:dyDescent="0.25">
      <c r="A250" s="4" t="s">
        <v>20</v>
      </c>
      <c r="B250" s="5" t="s">
        <v>719</v>
      </c>
      <c r="C250" s="4" t="s">
        <v>30</v>
      </c>
      <c r="D250" s="4" t="s">
        <v>720</v>
      </c>
      <c r="E250" s="4" t="s">
        <v>721</v>
      </c>
      <c r="F250" s="6">
        <f>8</f>
        <v>8</v>
      </c>
      <c r="G250" s="4" t="s">
        <v>25</v>
      </c>
      <c r="H250" s="7">
        <v>56.03</v>
      </c>
      <c r="I250" s="7">
        <v>56.03</v>
      </c>
      <c r="J250" s="8">
        <v>0.25</v>
      </c>
      <c r="K250" s="9">
        <f>70.04</f>
        <v>70.040000000000006</v>
      </c>
      <c r="L250" s="9">
        <f>560.32</f>
        <v>560.32000000000005</v>
      </c>
      <c r="M250" s="4"/>
      <c r="N250" s="10">
        <v>1</v>
      </c>
      <c r="O250" s="4" t="s">
        <v>26</v>
      </c>
      <c r="P250" s="11">
        <v>8</v>
      </c>
      <c r="Q250" s="9">
        <f>560.32</f>
        <v>560.32000000000005</v>
      </c>
    </row>
    <row r="251" spans="1:17" ht="45" customHeight="1" x14ac:dyDescent="0.25">
      <c r="A251" s="4" t="s">
        <v>20</v>
      </c>
      <c r="B251" s="5" t="s">
        <v>722</v>
      </c>
      <c r="C251" s="4" t="s">
        <v>30</v>
      </c>
      <c r="D251" s="4" t="s">
        <v>723</v>
      </c>
      <c r="E251" s="4" t="s">
        <v>724</v>
      </c>
      <c r="F251" s="6">
        <f>21</f>
        <v>21</v>
      </c>
      <c r="G251" s="4" t="s">
        <v>25</v>
      </c>
      <c r="H251" s="7">
        <v>124.21</v>
      </c>
      <c r="I251" s="7">
        <v>124.21</v>
      </c>
      <c r="J251" s="8">
        <v>0.25</v>
      </c>
      <c r="K251" s="9">
        <f>155.26</f>
        <v>155.26</v>
      </c>
      <c r="L251" s="9">
        <f>3260.46</f>
        <v>3260.46</v>
      </c>
      <c r="M251" s="4"/>
      <c r="N251" s="10">
        <v>1</v>
      </c>
      <c r="O251" s="4" t="s">
        <v>26</v>
      </c>
      <c r="P251" s="11">
        <v>21</v>
      </c>
      <c r="Q251" s="9">
        <f>3260.46</f>
        <v>3260.46</v>
      </c>
    </row>
    <row r="252" spans="1:17" ht="45" customHeight="1" x14ac:dyDescent="0.25">
      <c r="A252" s="4" t="s">
        <v>20</v>
      </c>
      <c r="B252" s="5" t="s">
        <v>725</v>
      </c>
      <c r="C252" s="4" t="s">
        <v>30</v>
      </c>
      <c r="D252" s="4" t="s">
        <v>726</v>
      </c>
      <c r="E252" s="4" t="s">
        <v>727</v>
      </c>
      <c r="F252" s="6">
        <f>12</f>
        <v>12</v>
      </c>
      <c r="G252" s="4" t="s">
        <v>25</v>
      </c>
      <c r="H252" s="7">
        <v>28.97</v>
      </c>
      <c r="I252" s="7">
        <v>28.97</v>
      </c>
      <c r="J252" s="8">
        <v>0.25</v>
      </c>
      <c r="K252" s="9">
        <f>36.21</f>
        <v>36.21</v>
      </c>
      <c r="L252" s="9">
        <f>434.52</f>
        <v>434.52</v>
      </c>
      <c r="M252" s="4"/>
      <c r="N252" s="10">
        <v>1</v>
      </c>
      <c r="O252" s="4" t="s">
        <v>26</v>
      </c>
      <c r="P252" s="11">
        <v>12</v>
      </c>
      <c r="Q252" s="9">
        <f>434.52</f>
        <v>434.52</v>
      </c>
    </row>
    <row r="253" spans="1:17" ht="45" customHeight="1" x14ac:dyDescent="0.25">
      <c r="A253" s="4" t="s">
        <v>20</v>
      </c>
      <c r="B253" s="5" t="s">
        <v>728</v>
      </c>
      <c r="C253" s="4" t="s">
        <v>30</v>
      </c>
      <c r="D253" s="4" t="s">
        <v>729</v>
      </c>
      <c r="E253" s="4" t="s">
        <v>730</v>
      </c>
      <c r="F253" s="6">
        <f>6</f>
        <v>6</v>
      </c>
      <c r="G253" s="4" t="s">
        <v>25</v>
      </c>
      <c r="H253" s="7">
        <v>144.03</v>
      </c>
      <c r="I253" s="7">
        <v>144.03</v>
      </c>
      <c r="J253" s="8">
        <v>0.25</v>
      </c>
      <c r="K253" s="9">
        <f>180.04</f>
        <v>180.04</v>
      </c>
      <c r="L253" s="9">
        <f>1080.24</f>
        <v>1080.24</v>
      </c>
      <c r="M253" s="4"/>
      <c r="N253" s="10">
        <v>1</v>
      </c>
      <c r="O253" s="4" t="s">
        <v>26</v>
      </c>
      <c r="P253" s="11">
        <v>6</v>
      </c>
      <c r="Q253" s="9">
        <f>1080.24</f>
        <v>1080.24</v>
      </c>
    </row>
    <row r="254" spans="1:17" ht="45" customHeight="1" x14ac:dyDescent="0.25">
      <c r="A254" s="4" t="s">
        <v>20</v>
      </c>
      <c r="B254" s="5" t="s">
        <v>731</v>
      </c>
      <c r="C254" s="4" t="s">
        <v>22</v>
      </c>
      <c r="D254" s="4" t="s">
        <v>732</v>
      </c>
      <c r="E254" s="4" t="s">
        <v>733</v>
      </c>
      <c r="F254" s="6">
        <f>1</f>
        <v>1</v>
      </c>
      <c r="G254" s="4" t="s">
        <v>25</v>
      </c>
      <c r="H254" s="7">
        <v>71.63</v>
      </c>
      <c r="I254" s="7">
        <v>71.61</v>
      </c>
      <c r="J254" s="8">
        <v>0.25</v>
      </c>
      <c r="K254" s="9">
        <f>89.51</f>
        <v>89.51</v>
      </c>
      <c r="L254" s="9">
        <f>89.51</f>
        <v>89.51</v>
      </c>
      <c r="M254" s="4"/>
      <c r="N254" s="10">
        <v>1</v>
      </c>
      <c r="O254" s="4" t="s">
        <v>26</v>
      </c>
      <c r="P254" s="11">
        <v>1</v>
      </c>
      <c r="Q254" s="9">
        <f>89.51</f>
        <v>89.51</v>
      </c>
    </row>
    <row r="255" spans="1:17" ht="45" customHeight="1" x14ac:dyDescent="0.25">
      <c r="A255" s="4" t="s">
        <v>20</v>
      </c>
      <c r="B255" s="5" t="s">
        <v>734</v>
      </c>
      <c r="C255" s="4" t="s">
        <v>30</v>
      </c>
      <c r="D255" s="4" t="s">
        <v>735</v>
      </c>
      <c r="E255" s="4" t="s">
        <v>736</v>
      </c>
      <c r="F255" s="6">
        <f>1</f>
        <v>1</v>
      </c>
      <c r="G255" s="4" t="s">
        <v>25</v>
      </c>
      <c r="H255" s="7">
        <v>25.74</v>
      </c>
      <c r="I255" s="7">
        <v>25.74</v>
      </c>
      <c r="J255" s="8">
        <v>0.25</v>
      </c>
      <c r="K255" s="9">
        <f>32.18</f>
        <v>32.18</v>
      </c>
      <c r="L255" s="9">
        <f>32.18</f>
        <v>32.18</v>
      </c>
      <c r="M255" s="4"/>
      <c r="N255" s="10">
        <v>1</v>
      </c>
      <c r="O255" s="4" t="s">
        <v>26</v>
      </c>
      <c r="P255" s="11">
        <v>1</v>
      </c>
      <c r="Q255" s="9">
        <f>32.18</f>
        <v>32.18</v>
      </c>
    </row>
    <row r="256" spans="1:17" ht="45" customHeight="1" x14ac:dyDescent="0.25">
      <c r="A256" s="4" t="s">
        <v>20</v>
      </c>
      <c r="B256" s="5" t="s">
        <v>737</v>
      </c>
      <c r="C256" s="4" t="s">
        <v>30</v>
      </c>
      <c r="D256" s="4" t="s">
        <v>738</v>
      </c>
      <c r="E256" s="4" t="s">
        <v>739</v>
      </c>
      <c r="F256" s="6">
        <f>8</f>
        <v>8</v>
      </c>
      <c r="G256" s="4" t="s">
        <v>25</v>
      </c>
      <c r="H256" s="7">
        <v>461.48</v>
      </c>
      <c r="I256" s="7">
        <v>461.48</v>
      </c>
      <c r="J256" s="8">
        <v>0.25</v>
      </c>
      <c r="K256" s="9">
        <f>576.85</f>
        <v>576.85</v>
      </c>
      <c r="L256" s="9">
        <f>4614.8</f>
        <v>4614.8</v>
      </c>
      <c r="M256" s="4"/>
      <c r="N256" s="10">
        <v>1</v>
      </c>
      <c r="O256" s="4" t="s">
        <v>26</v>
      </c>
      <c r="P256" s="11">
        <v>8</v>
      </c>
      <c r="Q256" s="9">
        <f>4614.8</f>
        <v>4614.8</v>
      </c>
    </row>
    <row r="257" spans="1:17" ht="45" customHeight="1" x14ac:dyDescent="0.25">
      <c r="A257" s="4" t="s">
        <v>20</v>
      </c>
      <c r="B257" s="5" t="s">
        <v>740</v>
      </c>
      <c r="C257" s="4" t="s">
        <v>30</v>
      </c>
      <c r="D257" s="4" t="s">
        <v>741</v>
      </c>
      <c r="E257" s="4" t="s">
        <v>742</v>
      </c>
      <c r="F257" s="6">
        <f>10</f>
        <v>10</v>
      </c>
      <c r="G257" s="4" t="s">
        <v>25</v>
      </c>
      <c r="H257" s="7">
        <v>217.32</v>
      </c>
      <c r="I257" s="7">
        <v>217.32</v>
      </c>
      <c r="J257" s="8">
        <v>0.25</v>
      </c>
      <c r="K257" s="9">
        <f>271.65</f>
        <v>271.64999999999998</v>
      </c>
      <c r="L257" s="9">
        <f>2716.5</f>
        <v>2716.5</v>
      </c>
      <c r="M257" s="4"/>
      <c r="N257" s="10">
        <v>1</v>
      </c>
      <c r="O257" s="4" t="s">
        <v>26</v>
      </c>
      <c r="P257" s="11">
        <v>10</v>
      </c>
      <c r="Q257" s="9">
        <f>2716.5</f>
        <v>2716.5</v>
      </c>
    </row>
    <row r="258" spans="1:17" ht="45" customHeight="1" x14ac:dyDescent="0.25">
      <c r="A258" s="4" t="s">
        <v>20</v>
      </c>
      <c r="B258" s="5" t="s">
        <v>743</v>
      </c>
      <c r="C258" s="4" t="s">
        <v>30</v>
      </c>
      <c r="D258" s="4" t="s">
        <v>744</v>
      </c>
      <c r="E258" s="4" t="s">
        <v>745</v>
      </c>
      <c r="F258" s="6">
        <f>29</f>
        <v>29</v>
      </c>
      <c r="G258" s="4" t="s">
        <v>25</v>
      </c>
      <c r="H258" s="7">
        <v>122.67</v>
      </c>
      <c r="I258" s="7">
        <v>122.67</v>
      </c>
      <c r="J258" s="8">
        <v>0.25</v>
      </c>
      <c r="K258" s="9">
        <f>153.34</f>
        <v>153.34</v>
      </c>
      <c r="L258" s="9">
        <f>4446.86</f>
        <v>4446.8599999999997</v>
      </c>
      <c r="M258" s="4"/>
      <c r="N258" s="10">
        <v>1</v>
      </c>
      <c r="O258" s="4" t="s">
        <v>26</v>
      </c>
      <c r="P258" s="11">
        <v>29</v>
      </c>
      <c r="Q258" s="9">
        <f>4446.86</f>
        <v>4446.8599999999997</v>
      </c>
    </row>
    <row r="259" spans="1:17" ht="45" customHeight="1" x14ac:dyDescent="0.25">
      <c r="A259" s="4" t="s">
        <v>20</v>
      </c>
      <c r="B259" s="5" t="s">
        <v>746</v>
      </c>
      <c r="C259" s="4" t="s">
        <v>30</v>
      </c>
      <c r="D259" s="4" t="s">
        <v>747</v>
      </c>
      <c r="E259" s="4" t="s">
        <v>748</v>
      </c>
      <c r="F259" s="6">
        <f>8</f>
        <v>8</v>
      </c>
      <c r="G259" s="4" t="s">
        <v>25</v>
      </c>
      <c r="H259" s="7">
        <v>116.4</v>
      </c>
      <c r="I259" s="7">
        <v>116.4</v>
      </c>
      <c r="J259" s="8">
        <v>0.25</v>
      </c>
      <c r="K259" s="9">
        <f>145.5</f>
        <v>145.5</v>
      </c>
      <c r="L259" s="9">
        <f>1164</f>
        <v>1164</v>
      </c>
      <c r="M259" s="4"/>
      <c r="N259" s="10">
        <v>1</v>
      </c>
      <c r="O259" s="4" t="s">
        <v>26</v>
      </c>
      <c r="P259" s="11">
        <v>8</v>
      </c>
      <c r="Q259" s="9">
        <f>1164</f>
        <v>1164</v>
      </c>
    </row>
    <row r="260" spans="1:17" ht="45" customHeight="1" x14ac:dyDescent="0.25">
      <c r="A260" s="4" t="s">
        <v>20</v>
      </c>
      <c r="B260" s="5" t="s">
        <v>749</v>
      </c>
      <c r="C260" s="4" t="s">
        <v>30</v>
      </c>
      <c r="D260" s="4" t="s">
        <v>750</v>
      </c>
      <c r="E260" s="4" t="s">
        <v>751</v>
      </c>
      <c r="F260" s="6">
        <f>1</f>
        <v>1</v>
      </c>
      <c r="G260" s="4" t="s">
        <v>25</v>
      </c>
      <c r="H260" s="7">
        <v>39.49</v>
      </c>
      <c r="I260" s="7">
        <v>39.49</v>
      </c>
      <c r="J260" s="8">
        <v>0.25</v>
      </c>
      <c r="K260" s="9">
        <f>49.36</f>
        <v>49.36</v>
      </c>
      <c r="L260" s="9">
        <f>49.36</f>
        <v>49.36</v>
      </c>
      <c r="M260" s="4"/>
      <c r="N260" s="10">
        <v>1</v>
      </c>
      <c r="O260" s="4" t="s">
        <v>26</v>
      </c>
      <c r="P260" s="11">
        <v>1</v>
      </c>
      <c r="Q260" s="9">
        <f>49.36</f>
        <v>49.36</v>
      </c>
    </row>
    <row r="261" spans="1:17" ht="45" customHeight="1" x14ac:dyDescent="0.25">
      <c r="A261" s="4" t="s">
        <v>20</v>
      </c>
      <c r="B261" s="5" t="s">
        <v>752</v>
      </c>
      <c r="C261" s="4" t="s">
        <v>30</v>
      </c>
      <c r="D261" s="4" t="s">
        <v>753</v>
      </c>
      <c r="E261" s="4" t="s">
        <v>754</v>
      </c>
      <c r="F261" s="6">
        <f>1</f>
        <v>1</v>
      </c>
      <c r="G261" s="4" t="s">
        <v>25</v>
      </c>
      <c r="H261" s="7">
        <v>48.35</v>
      </c>
      <c r="I261" s="7">
        <v>48.35</v>
      </c>
      <c r="J261" s="8">
        <v>0.25</v>
      </c>
      <c r="K261" s="9">
        <f>60.44</f>
        <v>60.44</v>
      </c>
      <c r="L261" s="9">
        <f>60.44</f>
        <v>60.44</v>
      </c>
      <c r="M261" s="4"/>
      <c r="N261" s="10">
        <v>1</v>
      </c>
      <c r="O261" s="4" t="s">
        <v>26</v>
      </c>
      <c r="P261" s="11">
        <v>1</v>
      </c>
      <c r="Q261" s="9">
        <f>60.44</f>
        <v>60.44</v>
      </c>
    </row>
    <row r="262" spans="1:17" ht="45" customHeight="1" x14ac:dyDescent="0.25">
      <c r="A262" s="4" t="s">
        <v>20</v>
      </c>
      <c r="B262" s="5" t="s">
        <v>755</v>
      </c>
      <c r="C262" s="4" t="s">
        <v>30</v>
      </c>
      <c r="D262" s="4" t="s">
        <v>756</v>
      </c>
      <c r="E262" s="4" t="s">
        <v>757</v>
      </c>
      <c r="F262" s="6">
        <f>1</f>
        <v>1</v>
      </c>
      <c r="G262" s="4" t="s">
        <v>25</v>
      </c>
      <c r="H262" s="7">
        <v>108.68</v>
      </c>
      <c r="I262" s="7">
        <v>108.68</v>
      </c>
      <c r="J262" s="8">
        <v>0.25</v>
      </c>
      <c r="K262" s="9">
        <f>135.85</f>
        <v>135.85</v>
      </c>
      <c r="L262" s="9">
        <f>135.85</f>
        <v>135.85</v>
      </c>
      <c r="M262" s="4"/>
      <c r="N262" s="10">
        <v>1</v>
      </c>
      <c r="O262" s="4" t="s">
        <v>26</v>
      </c>
      <c r="P262" s="11">
        <v>1</v>
      </c>
      <c r="Q262" s="9">
        <f>135.85</f>
        <v>135.85</v>
      </c>
    </row>
    <row r="263" spans="1:17" ht="45" customHeight="1" x14ac:dyDescent="0.25">
      <c r="A263" s="4" t="s">
        <v>20</v>
      </c>
      <c r="B263" s="5" t="s">
        <v>758</v>
      </c>
      <c r="C263" s="4" t="s">
        <v>22</v>
      </c>
      <c r="D263" s="4" t="s">
        <v>759</v>
      </c>
      <c r="E263" s="4" t="s">
        <v>760</v>
      </c>
      <c r="F263" s="6">
        <f>14</f>
        <v>14</v>
      </c>
      <c r="G263" s="4" t="s">
        <v>25</v>
      </c>
      <c r="H263" s="7">
        <v>446.26</v>
      </c>
      <c r="I263" s="7">
        <v>446.24</v>
      </c>
      <c r="J263" s="8">
        <v>0.25</v>
      </c>
      <c r="K263" s="9">
        <f>557.8</f>
        <v>557.79999999999995</v>
      </c>
      <c r="L263" s="9">
        <f>7809.2</f>
        <v>7809.2</v>
      </c>
      <c r="M263" s="4"/>
      <c r="N263" s="10">
        <v>1</v>
      </c>
      <c r="O263" s="4" t="s">
        <v>26</v>
      </c>
      <c r="P263" s="11">
        <v>14</v>
      </c>
      <c r="Q263" s="9">
        <f>7809.2</f>
        <v>7809.2</v>
      </c>
    </row>
    <row r="264" spans="1:17" ht="45" customHeight="1" x14ac:dyDescent="0.25">
      <c r="A264" s="4" t="s">
        <v>20</v>
      </c>
      <c r="B264" s="5" t="s">
        <v>761</v>
      </c>
      <c r="C264" s="4" t="s">
        <v>22</v>
      </c>
      <c r="D264" s="4" t="s">
        <v>762</v>
      </c>
      <c r="E264" s="4" t="s">
        <v>763</v>
      </c>
      <c r="F264" s="6">
        <f>1</f>
        <v>1</v>
      </c>
      <c r="G264" s="4" t="s">
        <v>25</v>
      </c>
      <c r="H264" s="7">
        <v>35602.68</v>
      </c>
      <c r="I264" s="7">
        <v>35602.68</v>
      </c>
      <c r="J264" s="8">
        <v>0.25</v>
      </c>
      <c r="K264" s="9">
        <f>44503.35</f>
        <v>44503.35</v>
      </c>
      <c r="L264" s="9">
        <f>44503.35</f>
        <v>44503.35</v>
      </c>
      <c r="M264" s="4"/>
      <c r="N264" s="10">
        <v>1</v>
      </c>
      <c r="O264" s="4" t="s">
        <v>26</v>
      </c>
      <c r="P264" s="11">
        <v>1</v>
      </c>
      <c r="Q264" s="9">
        <f>44503.35</f>
        <v>44503.35</v>
      </c>
    </row>
    <row r="265" spans="1:17" ht="45" customHeight="1" x14ac:dyDescent="0.25">
      <c r="A265" s="4" t="s">
        <v>17</v>
      </c>
      <c r="B265" s="5" t="s">
        <v>764</v>
      </c>
      <c r="C265" s="4"/>
      <c r="D265" s="4"/>
      <c r="E265" s="4" t="s">
        <v>765</v>
      </c>
      <c r="F265" s="6"/>
      <c r="G265" s="4"/>
      <c r="H265" s="7"/>
      <c r="I265" s="7"/>
      <c r="J265" s="8"/>
      <c r="K265" s="9"/>
      <c r="L265" s="9">
        <f>38961</f>
        <v>38961</v>
      </c>
      <c r="M265" s="4"/>
      <c r="N265" s="10"/>
      <c r="O265" s="4"/>
      <c r="P265" s="11"/>
      <c r="Q265" s="9"/>
    </row>
    <row r="266" spans="1:17" ht="45" customHeight="1" x14ac:dyDescent="0.25">
      <c r="A266" s="4" t="s">
        <v>20</v>
      </c>
      <c r="B266" s="5" t="s">
        <v>766</v>
      </c>
      <c r="C266" s="4" t="s">
        <v>30</v>
      </c>
      <c r="D266" s="4" t="s">
        <v>767</v>
      </c>
      <c r="E266" s="4" t="s">
        <v>768</v>
      </c>
      <c r="F266" s="6">
        <f>105.7</f>
        <v>105.7</v>
      </c>
      <c r="G266" s="4" t="s">
        <v>46</v>
      </c>
      <c r="H266" s="7">
        <v>38.97</v>
      </c>
      <c r="I266" s="7">
        <v>38.97</v>
      </c>
      <c r="J266" s="8">
        <v>0.25</v>
      </c>
      <c r="K266" s="9">
        <f>48.71</f>
        <v>48.71</v>
      </c>
      <c r="L266" s="9">
        <f>5148.65</f>
        <v>5148.6499999999996</v>
      </c>
      <c r="M266" s="4"/>
      <c r="N266" s="10">
        <v>1</v>
      </c>
      <c r="O266" s="4" t="s">
        <v>26</v>
      </c>
      <c r="P266" s="11">
        <v>105.7</v>
      </c>
      <c r="Q266" s="9">
        <f>5148.65</f>
        <v>5148.6499999999996</v>
      </c>
    </row>
    <row r="267" spans="1:17" ht="45" customHeight="1" x14ac:dyDescent="0.25">
      <c r="A267" s="4" t="s">
        <v>20</v>
      </c>
      <c r="B267" s="5" t="s">
        <v>769</v>
      </c>
      <c r="C267" s="4" t="s">
        <v>30</v>
      </c>
      <c r="D267" s="4" t="s">
        <v>770</v>
      </c>
      <c r="E267" s="4" t="s">
        <v>771</v>
      </c>
      <c r="F267" s="6">
        <f>23.1</f>
        <v>23.1</v>
      </c>
      <c r="G267" s="4" t="s">
        <v>46</v>
      </c>
      <c r="H267" s="7">
        <v>80.7</v>
      </c>
      <c r="I267" s="7">
        <v>80.7</v>
      </c>
      <c r="J267" s="8">
        <v>0.25</v>
      </c>
      <c r="K267" s="9">
        <f>100.88</f>
        <v>100.88</v>
      </c>
      <c r="L267" s="9">
        <f>2330.33</f>
        <v>2330.33</v>
      </c>
      <c r="M267" s="4"/>
      <c r="N267" s="10">
        <v>1</v>
      </c>
      <c r="O267" s="4" t="s">
        <v>26</v>
      </c>
      <c r="P267" s="11">
        <v>23.1</v>
      </c>
      <c r="Q267" s="9">
        <f>2330.33</f>
        <v>2330.33</v>
      </c>
    </row>
    <row r="268" spans="1:17" ht="45" customHeight="1" x14ac:dyDescent="0.25">
      <c r="A268" s="4" t="s">
        <v>20</v>
      </c>
      <c r="B268" s="5" t="s">
        <v>772</v>
      </c>
      <c r="C268" s="4" t="s">
        <v>30</v>
      </c>
      <c r="D268" s="4" t="s">
        <v>773</v>
      </c>
      <c r="E268" s="4" t="s">
        <v>774</v>
      </c>
      <c r="F268" s="6">
        <f>77.5</f>
        <v>77.5</v>
      </c>
      <c r="G268" s="4" t="s">
        <v>46</v>
      </c>
      <c r="H268" s="7">
        <v>134.03</v>
      </c>
      <c r="I268" s="7">
        <v>134.03</v>
      </c>
      <c r="J268" s="8">
        <v>0.25</v>
      </c>
      <c r="K268" s="9">
        <f>167.54</f>
        <v>167.54</v>
      </c>
      <c r="L268" s="9">
        <f>12984.35</f>
        <v>12984.35</v>
      </c>
      <c r="M268" s="4"/>
      <c r="N268" s="10">
        <v>1</v>
      </c>
      <c r="O268" s="4" t="s">
        <v>26</v>
      </c>
      <c r="P268" s="11">
        <v>77.5</v>
      </c>
      <c r="Q268" s="9">
        <f>12984.35</f>
        <v>12984.35</v>
      </c>
    </row>
    <row r="269" spans="1:17" ht="45" customHeight="1" x14ac:dyDescent="0.25">
      <c r="A269" s="4" t="s">
        <v>20</v>
      </c>
      <c r="B269" s="5" t="s">
        <v>775</v>
      </c>
      <c r="C269" s="4" t="s">
        <v>30</v>
      </c>
      <c r="D269" s="4" t="s">
        <v>776</v>
      </c>
      <c r="E269" s="4" t="s">
        <v>777</v>
      </c>
      <c r="F269" s="6">
        <f>4.8</f>
        <v>4.8</v>
      </c>
      <c r="G269" s="4" t="s">
        <v>46</v>
      </c>
      <c r="H269" s="7">
        <v>210</v>
      </c>
      <c r="I269" s="7">
        <v>210</v>
      </c>
      <c r="J269" s="8">
        <v>0.25</v>
      </c>
      <c r="K269" s="9">
        <f>262.5</f>
        <v>262.5</v>
      </c>
      <c r="L269" s="9">
        <f>1260</f>
        <v>1260</v>
      </c>
      <c r="M269" s="4"/>
      <c r="N269" s="10">
        <v>1</v>
      </c>
      <c r="O269" s="4" t="s">
        <v>26</v>
      </c>
      <c r="P269" s="11">
        <v>4.8</v>
      </c>
      <c r="Q269" s="9">
        <f>1260</f>
        <v>1260</v>
      </c>
    </row>
    <row r="270" spans="1:17" ht="45" customHeight="1" x14ac:dyDescent="0.25">
      <c r="A270" s="4" t="s">
        <v>20</v>
      </c>
      <c r="B270" s="5" t="s">
        <v>778</v>
      </c>
      <c r="C270" s="4" t="s">
        <v>30</v>
      </c>
      <c r="D270" s="4" t="s">
        <v>779</v>
      </c>
      <c r="E270" s="4" t="s">
        <v>780</v>
      </c>
      <c r="F270" s="6">
        <f>2</f>
        <v>2</v>
      </c>
      <c r="G270" s="4" t="s">
        <v>25</v>
      </c>
      <c r="H270" s="7">
        <v>78.47</v>
      </c>
      <c r="I270" s="7">
        <v>78.47</v>
      </c>
      <c r="J270" s="8">
        <v>0.25</v>
      </c>
      <c r="K270" s="9">
        <f>98.09</f>
        <v>98.09</v>
      </c>
      <c r="L270" s="9">
        <f>196.18</f>
        <v>196.18</v>
      </c>
      <c r="M270" s="4"/>
      <c r="N270" s="10">
        <v>1</v>
      </c>
      <c r="O270" s="4" t="s">
        <v>26</v>
      </c>
      <c r="P270" s="11">
        <v>2</v>
      </c>
      <c r="Q270" s="9">
        <f>196.18</f>
        <v>196.18</v>
      </c>
    </row>
    <row r="271" spans="1:17" ht="45" customHeight="1" x14ac:dyDescent="0.25">
      <c r="A271" s="4" t="s">
        <v>20</v>
      </c>
      <c r="B271" s="5" t="s">
        <v>781</v>
      </c>
      <c r="C271" s="4" t="s">
        <v>30</v>
      </c>
      <c r="D271" s="4" t="s">
        <v>782</v>
      </c>
      <c r="E271" s="4" t="s">
        <v>783</v>
      </c>
      <c r="F271" s="6">
        <f>2</f>
        <v>2</v>
      </c>
      <c r="G271" s="4" t="s">
        <v>25</v>
      </c>
      <c r="H271" s="7">
        <v>24.5</v>
      </c>
      <c r="I271" s="7">
        <v>24.5</v>
      </c>
      <c r="J271" s="8">
        <v>0.25</v>
      </c>
      <c r="K271" s="9">
        <f>30.63</f>
        <v>30.63</v>
      </c>
      <c r="L271" s="9">
        <f>61.26</f>
        <v>61.26</v>
      </c>
      <c r="M271" s="4"/>
      <c r="N271" s="10">
        <v>1</v>
      </c>
      <c r="O271" s="4" t="s">
        <v>26</v>
      </c>
      <c r="P271" s="11">
        <v>2</v>
      </c>
      <c r="Q271" s="9">
        <f>61.26</f>
        <v>61.26</v>
      </c>
    </row>
    <row r="272" spans="1:17" ht="45" customHeight="1" x14ac:dyDescent="0.25">
      <c r="A272" s="4" t="s">
        <v>20</v>
      </c>
      <c r="B272" s="5" t="s">
        <v>784</v>
      </c>
      <c r="C272" s="4" t="s">
        <v>30</v>
      </c>
      <c r="D272" s="4" t="s">
        <v>785</v>
      </c>
      <c r="E272" s="4" t="s">
        <v>786</v>
      </c>
      <c r="F272" s="6">
        <f>1</f>
        <v>1</v>
      </c>
      <c r="G272" s="4" t="s">
        <v>25</v>
      </c>
      <c r="H272" s="7">
        <v>68.55</v>
      </c>
      <c r="I272" s="7">
        <v>68.55</v>
      </c>
      <c r="J272" s="8">
        <v>0.25</v>
      </c>
      <c r="K272" s="9">
        <f>85.69</f>
        <v>85.69</v>
      </c>
      <c r="L272" s="9">
        <f>85.69</f>
        <v>85.69</v>
      </c>
      <c r="M272" s="4"/>
      <c r="N272" s="10">
        <v>1</v>
      </c>
      <c r="O272" s="4" t="s">
        <v>26</v>
      </c>
      <c r="P272" s="11">
        <v>1</v>
      </c>
      <c r="Q272" s="9">
        <f>85.69</f>
        <v>85.69</v>
      </c>
    </row>
    <row r="273" spans="1:17" ht="45" customHeight="1" x14ac:dyDescent="0.25">
      <c r="A273" s="4" t="s">
        <v>20</v>
      </c>
      <c r="B273" s="5" t="s">
        <v>787</v>
      </c>
      <c r="C273" s="4" t="s">
        <v>30</v>
      </c>
      <c r="D273" s="4" t="s">
        <v>788</v>
      </c>
      <c r="E273" s="4" t="s">
        <v>789</v>
      </c>
      <c r="F273" s="6">
        <f>12</f>
        <v>12</v>
      </c>
      <c r="G273" s="4" t="s">
        <v>25</v>
      </c>
      <c r="H273" s="7">
        <v>50.59</v>
      </c>
      <c r="I273" s="7">
        <v>50.59</v>
      </c>
      <c r="J273" s="8">
        <v>0.25</v>
      </c>
      <c r="K273" s="9">
        <f>63.24</f>
        <v>63.24</v>
      </c>
      <c r="L273" s="9">
        <f>758.88</f>
        <v>758.88</v>
      </c>
      <c r="M273" s="4"/>
      <c r="N273" s="10">
        <v>1</v>
      </c>
      <c r="O273" s="4" t="s">
        <v>26</v>
      </c>
      <c r="P273" s="11">
        <v>12</v>
      </c>
      <c r="Q273" s="9">
        <f>758.88</f>
        <v>758.88</v>
      </c>
    </row>
    <row r="274" spans="1:17" ht="45" customHeight="1" x14ac:dyDescent="0.25">
      <c r="A274" s="4" t="s">
        <v>20</v>
      </c>
      <c r="B274" s="5" t="s">
        <v>790</v>
      </c>
      <c r="C274" s="4" t="s">
        <v>30</v>
      </c>
      <c r="D274" s="4" t="s">
        <v>791</v>
      </c>
      <c r="E274" s="4" t="s">
        <v>792</v>
      </c>
      <c r="F274" s="6">
        <f>3</f>
        <v>3</v>
      </c>
      <c r="G274" s="4" t="s">
        <v>25</v>
      </c>
      <c r="H274" s="7">
        <v>49.36</v>
      </c>
      <c r="I274" s="7">
        <v>49.36</v>
      </c>
      <c r="J274" s="8">
        <v>0.25</v>
      </c>
      <c r="K274" s="9">
        <f>61.7</f>
        <v>61.7</v>
      </c>
      <c r="L274" s="9">
        <f>185.1</f>
        <v>185.1</v>
      </c>
      <c r="M274" s="4"/>
      <c r="N274" s="10">
        <v>1</v>
      </c>
      <c r="O274" s="4" t="s">
        <v>26</v>
      </c>
      <c r="P274" s="11">
        <v>3</v>
      </c>
      <c r="Q274" s="9">
        <f>185.1</f>
        <v>185.1</v>
      </c>
    </row>
    <row r="275" spans="1:17" ht="45" customHeight="1" x14ac:dyDescent="0.25">
      <c r="A275" s="4" t="s">
        <v>20</v>
      </c>
      <c r="B275" s="5" t="s">
        <v>793</v>
      </c>
      <c r="C275" s="4" t="s">
        <v>30</v>
      </c>
      <c r="D275" s="4" t="s">
        <v>794</v>
      </c>
      <c r="E275" s="4" t="s">
        <v>795</v>
      </c>
      <c r="F275" s="6">
        <f>1</f>
        <v>1</v>
      </c>
      <c r="G275" s="4" t="s">
        <v>25</v>
      </c>
      <c r="H275" s="7">
        <v>213.66</v>
      </c>
      <c r="I275" s="7">
        <v>213.66</v>
      </c>
      <c r="J275" s="8">
        <v>0.25</v>
      </c>
      <c r="K275" s="9">
        <f>267.08</f>
        <v>267.08</v>
      </c>
      <c r="L275" s="9">
        <f>267.08</f>
        <v>267.08</v>
      </c>
      <c r="M275" s="4"/>
      <c r="N275" s="10">
        <v>1</v>
      </c>
      <c r="O275" s="4" t="s">
        <v>26</v>
      </c>
      <c r="P275" s="11">
        <v>1</v>
      </c>
      <c r="Q275" s="9">
        <f>267.08</f>
        <v>267.08</v>
      </c>
    </row>
    <row r="276" spans="1:17" ht="45" customHeight="1" x14ac:dyDescent="0.25">
      <c r="A276" s="4" t="s">
        <v>20</v>
      </c>
      <c r="B276" s="5" t="s">
        <v>796</v>
      </c>
      <c r="C276" s="4" t="s">
        <v>22</v>
      </c>
      <c r="D276" s="4" t="s">
        <v>797</v>
      </c>
      <c r="E276" s="4" t="s">
        <v>798</v>
      </c>
      <c r="F276" s="6">
        <f>4</f>
        <v>4</v>
      </c>
      <c r="G276" s="4" t="s">
        <v>25</v>
      </c>
      <c r="H276" s="7">
        <v>123.22</v>
      </c>
      <c r="I276" s="7">
        <v>123.21</v>
      </c>
      <c r="J276" s="8">
        <v>0.25</v>
      </c>
      <c r="K276" s="9">
        <f>154.01</f>
        <v>154.01</v>
      </c>
      <c r="L276" s="9">
        <f>616.04</f>
        <v>616.04</v>
      </c>
      <c r="M276" s="4"/>
      <c r="N276" s="10">
        <v>1</v>
      </c>
      <c r="O276" s="4" t="s">
        <v>26</v>
      </c>
      <c r="P276" s="11">
        <v>4</v>
      </c>
      <c r="Q276" s="9">
        <f>616.04</f>
        <v>616.04</v>
      </c>
    </row>
    <row r="277" spans="1:17" ht="45" customHeight="1" x14ac:dyDescent="0.25">
      <c r="A277" s="4" t="s">
        <v>20</v>
      </c>
      <c r="B277" s="5" t="s">
        <v>799</v>
      </c>
      <c r="C277" s="4" t="s">
        <v>30</v>
      </c>
      <c r="D277" s="4" t="s">
        <v>800</v>
      </c>
      <c r="E277" s="4" t="s">
        <v>801</v>
      </c>
      <c r="F277" s="6">
        <f>9</f>
        <v>9</v>
      </c>
      <c r="G277" s="4" t="s">
        <v>25</v>
      </c>
      <c r="H277" s="7">
        <v>588.82000000000005</v>
      </c>
      <c r="I277" s="7">
        <v>588.82000000000005</v>
      </c>
      <c r="J277" s="8">
        <v>0.25</v>
      </c>
      <c r="K277" s="9">
        <f>736.03</f>
        <v>736.03</v>
      </c>
      <c r="L277" s="9">
        <f>6624.27</f>
        <v>6624.27</v>
      </c>
      <c r="M277" s="4"/>
      <c r="N277" s="10">
        <v>1</v>
      </c>
      <c r="O277" s="4" t="s">
        <v>26</v>
      </c>
      <c r="P277" s="11">
        <v>9</v>
      </c>
      <c r="Q277" s="9">
        <f>6624.27</f>
        <v>6624.27</v>
      </c>
    </row>
    <row r="278" spans="1:17" ht="45" customHeight="1" x14ac:dyDescent="0.25">
      <c r="A278" s="4" t="s">
        <v>20</v>
      </c>
      <c r="B278" s="5" t="s">
        <v>802</v>
      </c>
      <c r="C278" s="4" t="s">
        <v>22</v>
      </c>
      <c r="D278" s="4" t="s">
        <v>803</v>
      </c>
      <c r="E278" s="4" t="s">
        <v>804</v>
      </c>
      <c r="F278" s="6">
        <f>9</f>
        <v>9</v>
      </c>
      <c r="G278" s="4" t="s">
        <v>25</v>
      </c>
      <c r="H278" s="7">
        <v>391.85</v>
      </c>
      <c r="I278" s="7">
        <v>391.85</v>
      </c>
      <c r="J278" s="8">
        <v>0.25</v>
      </c>
      <c r="K278" s="9">
        <f>489.81</f>
        <v>489.81</v>
      </c>
      <c r="L278" s="9">
        <f>4408.29</f>
        <v>4408.29</v>
      </c>
      <c r="M278" s="4"/>
      <c r="N278" s="10">
        <v>1</v>
      </c>
      <c r="O278" s="4" t="s">
        <v>26</v>
      </c>
      <c r="P278" s="11">
        <v>9</v>
      </c>
      <c r="Q278" s="9">
        <f>4408.29</f>
        <v>4408.29</v>
      </c>
    </row>
    <row r="279" spans="1:17" ht="45" customHeight="1" x14ac:dyDescent="0.25">
      <c r="A279" s="4" t="s">
        <v>20</v>
      </c>
      <c r="B279" s="5" t="s">
        <v>805</v>
      </c>
      <c r="C279" s="4" t="s">
        <v>22</v>
      </c>
      <c r="D279" s="4" t="s">
        <v>806</v>
      </c>
      <c r="E279" s="4" t="s">
        <v>807</v>
      </c>
      <c r="F279" s="6">
        <f>2</f>
        <v>2</v>
      </c>
      <c r="G279" s="4" t="s">
        <v>25</v>
      </c>
      <c r="H279" s="7">
        <v>1146.46</v>
      </c>
      <c r="I279" s="7">
        <v>1146.45</v>
      </c>
      <c r="J279" s="8">
        <v>0.25</v>
      </c>
      <c r="K279" s="9">
        <f>1433.06</f>
        <v>1433.06</v>
      </c>
      <c r="L279" s="9">
        <f>2866.12</f>
        <v>2866.12</v>
      </c>
      <c r="M279" s="4"/>
      <c r="N279" s="10">
        <v>1</v>
      </c>
      <c r="O279" s="4" t="s">
        <v>26</v>
      </c>
      <c r="P279" s="11">
        <v>2</v>
      </c>
      <c r="Q279" s="9">
        <f>2866.12</f>
        <v>2866.12</v>
      </c>
    </row>
    <row r="280" spans="1:17" ht="45" customHeight="1" x14ac:dyDescent="0.25">
      <c r="A280" s="4" t="s">
        <v>20</v>
      </c>
      <c r="B280" s="5" t="s">
        <v>808</v>
      </c>
      <c r="C280" s="4" t="s">
        <v>22</v>
      </c>
      <c r="D280" s="4" t="s">
        <v>809</v>
      </c>
      <c r="E280" s="4" t="s">
        <v>810</v>
      </c>
      <c r="F280" s="6">
        <f>2</f>
        <v>2</v>
      </c>
      <c r="G280" s="4" t="s">
        <v>25</v>
      </c>
      <c r="H280" s="7">
        <v>467.51</v>
      </c>
      <c r="I280" s="7">
        <v>467.5</v>
      </c>
      <c r="J280" s="8">
        <v>0.25</v>
      </c>
      <c r="K280" s="9">
        <f>584.38</f>
        <v>584.38</v>
      </c>
      <c r="L280" s="9">
        <f>1168.76</f>
        <v>1168.76</v>
      </c>
      <c r="M280" s="4"/>
      <c r="N280" s="10">
        <v>1</v>
      </c>
      <c r="O280" s="4" t="s">
        <v>26</v>
      </c>
      <c r="P280" s="11">
        <v>2</v>
      </c>
      <c r="Q280" s="9">
        <f>1168.76</f>
        <v>1168.76</v>
      </c>
    </row>
    <row r="281" spans="1:17" ht="45" customHeight="1" x14ac:dyDescent="0.25">
      <c r="A281" s="4" t="s">
        <v>17</v>
      </c>
      <c r="B281" s="5" t="s">
        <v>811</v>
      </c>
      <c r="C281" s="4"/>
      <c r="D281" s="4"/>
      <c r="E281" s="4" t="s">
        <v>812</v>
      </c>
      <c r="F281" s="6"/>
      <c r="G281" s="4"/>
      <c r="H281" s="7"/>
      <c r="I281" s="7"/>
      <c r="J281" s="8"/>
      <c r="K281" s="9"/>
      <c r="L281" s="9">
        <f>94384.12</f>
        <v>94384.12</v>
      </c>
      <c r="M281" s="4"/>
      <c r="N281" s="10"/>
      <c r="O281" s="4"/>
      <c r="P281" s="11"/>
      <c r="Q281" s="9"/>
    </row>
    <row r="282" spans="1:17" ht="45" customHeight="1" x14ac:dyDescent="0.25">
      <c r="A282" s="4" t="s">
        <v>20</v>
      </c>
      <c r="B282" s="5" t="s">
        <v>813</v>
      </c>
      <c r="C282" s="4" t="s">
        <v>30</v>
      </c>
      <c r="D282" s="4" t="s">
        <v>814</v>
      </c>
      <c r="E282" s="4" t="s">
        <v>815</v>
      </c>
      <c r="F282" s="6">
        <f>76.4</f>
        <v>76.400000000000006</v>
      </c>
      <c r="G282" s="4" t="s">
        <v>46</v>
      </c>
      <c r="H282" s="7">
        <v>24.37</v>
      </c>
      <c r="I282" s="7">
        <v>24.37</v>
      </c>
      <c r="J282" s="8">
        <v>0.25</v>
      </c>
      <c r="K282" s="9">
        <f>30.46</f>
        <v>30.46</v>
      </c>
      <c r="L282" s="9">
        <f>2327.14</f>
        <v>2327.14</v>
      </c>
      <c r="M282" s="4"/>
      <c r="N282" s="10">
        <v>1</v>
      </c>
      <c r="O282" s="4" t="s">
        <v>26</v>
      </c>
      <c r="P282" s="11">
        <v>76.400000000000006</v>
      </c>
      <c r="Q282" s="9">
        <f>2327.14</f>
        <v>2327.14</v>
      </c>
    </row>
    <row r="283" spans="1:17" ht="45" customHeight="1" x14ac:dyDescent="0.25">
      <c r="A283" s="4" t="s">
        <v>20</v>
      </c>
      <c r="B283" s="5" t="s">
        <v>816</v>
      </c>
      <c r="C283" s="4" t="s">
        <v>30</v>
      </c>
      <c r="D283" s="4" t="s">
        <v>817</v>
      </c>
      <c r="E283" s="4" t="s">
        <v>818</v>
      </c>
      <c r="F283" s="6">
        <f>139.5</f>
        <v>139.5</v>
      </c>
      <c r="G283" s="4" t="s">
        <v>46</v>
      </c>
      <c r="H283" s="7">
        <v>31.11</v>
      </c>
      <c r="I283" s="7">
        <v>31.11</v>
      </c>
      <c r="J283" s="8">
        <v>0.25</v>
      </c>
      <c r="K283" s="9">
        <f>38.89</f>
        <v>38.89</v>
      </c>
      <c r="L283" s="9">
        <f>5425.16</f>
        <v>5425.16</v>
      </c>
      <c r="M283" s="4"/>
      <c r="N283" s="10">
        <v>1</v>
      </c>
      <c r="O283" s="4" t="s">
        <v>26</v>
      </c>
      <c r="P283" s="11">
        <v>139.5</v>
      </c>
      <c r="Q283" s="9">
        <f>5425.16</f>
        <v>5425.16</v>
      </c>
    </row>
    <row r="284" spans="1:17" ht="45" customHeight="1" x14ac:dyDescent="0.25">
      <c r="A284" s="4" t="s">
        <v>20</v>
      </c>
      <c r="B284" s="5" t="s">
        <v>819</v>
      </c>
      <c r="C284" s="4" t="s">
        <v>30</v>
      </c>
      <c r="D284" s="4" t="s">
        <v>820</v>
      </c>
      <c r="E284" s="4" t="s">
        <v>821</v>
      </c>
      <c r="F284" s="6">
        <f>3.9</f>
        <v>3.9</v>
      </c>
      <c r="G284" s="4" t="s">
        <v>46</v>
      </c>
      <c r="H284" s="7">
        <v>38.83</v>
      </c>
      <c r="I284" s="7">
        <v>38.83</v>
      </c>
      <c r="J284" s="8">
        <v>0.25</v>
      </c>
      <c r="K284" s="9">
        <f>48.54</f>
        <v>48.54</v>
      </c>
      <c r="L284" s="9">
        <f>189.31</f>
        <v>189.31</v>
      </c>
      <c r="M284" s="4"/>
      <c r="N284" s="10">
        <v>1</v>
      </c>
      <c r="O284" s="4" t="s">
        <v>26</v>
      </c>
      <c r="P284" s="11">
        <v>3.9</v>
      </c>
      <c r="Q284" s="9">
        <f>189.31</f>
        <v>189.31</v>
      </c>
    </row>
    <row r="285" spans="1:17" ht="45" customHeight="1" x14ac:dyDescent="0.25">
      <c r="A285" s="4" t="s">
        <v>20</v>
      </c>
      <c r="B285" s="5" t="s">
        <v>822</v>
      </c>
      <c r="C285" s="4" t="s">
        <v>30</v>
      </c>
      <c r="D285" s="4" t="s">
        <v>823</v>
      </c>
      <c r="E285" s="4" t="s">
        <v>824</v>
      </c>
      <c r="F285" s="6">
        <f>147.7</f>
        <v>147.69999999999999</v>
      </c>
      <c r="G285" s="4" t="s">
        <v>46</v>
      </c>
      <c r="H285" s="7">
        <v>43.31</v>
      </c>
      <c r="I285" s="7">
        <v>43.31</v>
      </c>
      <c r="J285" s="8">
        <v>0.25</v>
      </c>
      <c r="K285" s="9">
        <f>54.14</f>
        <v>54.14</v>
      </c>
      <c r="L285" s="9">
        <f>7996.48</f>
        <v>7996.48</v>
      </c>
      <c r="M285" s="4"/>
      <c r="N285" s="10">
        <v>1</v>
      </c>
      <c r="O285" s="4" t="s">
        <v>26</v>
      </c>
      <c r="P285" s="11">
        <v>147.69999999999999</v>
      </c>
      <c r="Q285" s="9">
        <f>7996.48</f>
        <v>7996.48</v>
      </c>
    </row>
    <row r="286" spans="1:17" ht="45" customHeight="1" x14ac:dyDescent="0.25">
      <c r="A286" s="4" t="s">
        <v>20</v>
      </c>
      <c r="B286" s="5" t="s">
        <v>825</v>
      </c>
      <c r="C286" s="4" t="s">
        <v>30</v>
      </c>
      <c r="D286" s="4" t="s">
        <v>826</v>
      </c>
      <c r="E286" s="4" t="s">
        <v>827</v>
      </c>
      <c r="F286" s="6">
        <f>29.7</f>
        <v>29.7</v>
      </c>
      <c r="G286" s="4" t="s">
        <v>46</v>
      </c>
      <c r="H286" s="7">
        <v>66.28</v>
      </c>
      <c r="I286" s="7">
        <v>66.28</v>
      </c>
      <c r="J286" s="8">
        <v>0.25</v>
      </c>
      <c r="K286" s="9">
        <f>82.85</f>
        <v>82.85</v>
      </c>
      <c r="L286" s="9">
        <f>2460.65</f>
        <v>2460.65</v>
      </c>
      <c r="M286" s="4"/>
      <c r="N286" s="10">
        <v>1</v>
      </c>
      <c r="O286" s="4" t="s">
        <v>26</v>
      </c>
      <c r="P286" s="11">
        <v>29.7</v>
      </c>
      <c r="Q286" s="9">
        <f>2460.65</f>
        <v>2460.65</v>
      </c>
    </row>
    <row r="287" spans="1:17" ht="45" customHeight="1" x14ac:dyDescent="0.25">
      <c r="A287" s="4" t="s">
        <v>20</v>
      </c>
      <c r="B287" s="5" t="s">
        <v>828</v>
      </c>
      <c r="C287" s="4" t="s">
        <v>30</v>
      </c>
      <c r="D287" s="4" t="s">
        <v>829</v>
      </c>
      <c r="E287" s="4" t="s">
        <v>830</v>
      </c>
      <c r="F287" s="6">
        <f>12</f>
        <v>12</v>
      </c>
      <c r="G287" s="4" t="s">
        <v>25</v>
      </c>
      <c r="H287" s="7">
        <v>12.25</v>
      </c>
      <c r="I287" s="7">
        <v>12.25</v>
      </c>
      <c r="J287" s="8">
        <v>0.25</v>
      </c>
      <c r="K287" s="9">
        <f>15.31</f>
        <v>15.31</v>
      </c>
      <c r="L287" s="9">
        <f>183.72</f>
        <v>183.72</v>
      </c>
      <c r="M287" s="4"/>
      <c r="N287" s="10">
        <v>1</v>
      </c>
      <c r="O287" s="4" t="s">
        <v>26</v>
      </c>
      <c r="P287" s="11">
        <v>12</v>
      </c>
      <c r="Q287" s="9">
        <f>183.72</f>
        <v>183.72</v>
      </c>
    </row>
    <row r="288" spans="1:17" ht="45" customHeight="1" x14ac:dyDescent="0.25">
      <c r="A288" s="4" t="s">
        <v>20</v>
      </c>
      <c r="B288" s="5" t="s">
        <v>831</v>
      </c>
      <c r="C288" s="4" t="s">
        <v>30</v>
      </c>
      <c r="D288" s="4" t="s">
        <v>832</v>
      </c>
      <c r="E288" s="4" t="s">
        <v>833</v>
      </c>
      <c r="F288" s="6">
        <f>48</f>
        <v>48</v>
      </c>
      <c r="G288" s="4" t="s">
        <v>25</v>
      </c>
      <c r="H288" s="7">
        <v>15.25</v>
      </c>
      <c r="I288" s="7">
        <v>15.25</v>
      </c>
      <c r="J288" s="8">
        <v>0.25</v>
      </c>
      <c r="K288" s="9">
        <f>19.06</f>
        <v>19.059999999999999</v>
      </c>
      <c r="L288" s="9">
        <f>914.88</f>
        <v>914.88</v>
      </c>
      <c r="M288" s="4"/>
      <c r="N288" s="10">
        <v>1</v>
      </c>
      <c r="O288" s="4" t="s">
        <v>26</v>
      </c>
      <c r="P288" s="11">
        <v>48</v>
      </c>
      <c r="Q288" s="9">
        <f>914.88</f>
        <v>914.88</v>
      </c>
    </row>
    <row r="289" spans="1:17" ht="45" customHeight="1" x14ac:dyDescent="0.25">
      <c r="A289" s="4" t="s">
        <v>20</v>
      </c>
      <c r="B289" s="5" t="s">
        <v>834</v>
      </c>
      <c r="C289" s="4" t="s">
        <v>30</v>
      </c>
      <c r="D289" s="4" t="s">
        <v>835</v>
      </c>
      <c r="E289" s="4" t="s">
        <v>836</v>
      </c>
      <c r="F289" s="6">
        <f>2</f>
        <v>2</v>
      </c>
      <c r="G289" s="4" t="s">
        <v>25</v>
      </c>
      <c r="H289" s="7">
        <v>26.5</v>
      </c>
      <c r="I289" s="7">
        <v>26.5</v>
      </c>
      <c r="J289" s="8">
        <v>0.25</v>
      </c>
      <c r="K289" s="9">
        <f>33.13</f>
        <v>33.130000000000003</v>
      </c>
      <c r="L289" s="9">
        <f>66.26</f>
        <v>66.260000000000005</v>
      </c>
      <c r="M289" s="4"/>
      <c r="N289" s="10">
        <v>1</v>
      </c>
      <c r="O289" s="4" t="s">
        <v>26</v>
      </c>
      <c r="P289" s="11">
        <v>2</v>
      </c>
      <c r="Q289" s="9">
        <f>66.26</f>
        <v>66.260000000000005</v>
      </c>
    </row>
    <row r="290" spans="1:17" ht="45" customHeight="1" x14ac:dyDescent="0.25">
      <c r="A290" s="4" t="s">
        <v>20</v>
      </c>
      <c r="B290" s="5" t="s">
        <v>837</v>
      </c>
      <c r="C290" s="4" t="s">
        <v>30</v>
      </c>
      <c r="D290" s="4" t="s">
        <v>838</v>
      </c>
      <c r="E290" s="4" t="s">
        <v>839</v>
      </c>
      <c r="F290" s="6">
        <f>14</f>
        <v>14</v>
      </c>
      <c r="G290" s="4" t="s">
        <v>25</v>
      </c>
      <c r="H290" s="7">
        <v>48.56</v>
      </c>
      <c r="I290" s="7">
        <v>48.56</v>
      </c>
      <c r="J290" s="8">
        <v>0.25</v>
      </c>
      <c r="K290" s="9">
        <f>60.7</f>
        <v>60.7</v>
      </c>
      <c r="L290" s="9">
        <f>849.8</f>
        <v>849.8</v>
      </c>
      <c r="M290" s="4"/>
      <c r="N290" s="10">
        <v>1</v>
      </c>
      <c r="O290" s="4" t="s">
        <v>26</v>
      </c>
      <c r="P290" s="11">
        <v>14</v>
      </c>
      <c r="Q290" s="9">
        <f>849.8</f>
        <v>849.8</v>
      </c>
    </row>
    <row r="291" spans="1:17" ht="45" customHeight="1" x14ac:dyDescent="0.25">
      <c r="A291" s="4" t="s">
        <v>20</v>
      </c>
      <c r="B291" s="5" t="s">
        <v>840</v>
      </c>
      <c r="C291" s="4" t="s">
        <v>30</v>
      </c>
      <c r="D291" s="4" t="s">
        <v>841</v>
      </c>
      <c r="E291" s="4" t="s">
        <v>842</v>
      </c>
      <c r="F291" s="6">
        <f>33</f>
        <v>33</v>
      </c>
      <c r="G291" s="4" t="s">
        <v>25</v>
      </c>
      <c r="H291" s="7">
        <v>12.05</v>
      </c>
      <c r="I291" s="7">
        <v>12.05</v>
      </c>
      <c r="J291" s="8">
        <v>0.25</v>
      </c>
      <c r="K291" s="9">
        <f>15.06</f>
        <v>15.06</v>
      </c>
      <c r="L291" s="9">
        <f>496.98</f>
        <v>496.98</v>
      </c>
      <c r="M291" s="4"/>
      <c r="N291" s="10">
        <v>1</v>
      </c>
      <c r="O291" s="4" t="s">
        <v>26</v>
      </c>
      <c r="P291" s="11">
        <v>33</v>
      </c>
      <c r="Q291" s="9">
        <f>496.98</f>
        <v>496.98</v>
      </c>
    </row>
    <row r="292" spans="1:17" ht="45" customHeight="1" x14ac:dyDescent="0.25">
      <c r="A292" s="4" t="s">
        <v>20</v>
      </c>
      <c r="B292" s="5" t="s">
        <v>843</v>
      </c>
      <c r="C292" s="4" t="s">
        <v>30</v>
      </c>
      <c r="D292" s="4" t="s">
        <v>844</v>
      </c>
      <c r="E292" s="4" t="s">
        <v>845</v>
      </c>
      <c r="F292" s="6">
        <f>37</f>
        <v>37</v>
      </c>
      <c r="G292" s="4" t="s">
        <v>25</v>
      </c>
      <c r="H292" s="7">
        <v>17.29</v>
      </c>
      <c r="I292" s="7">
        <v>17.29</v>
      </c>
      <c r="J292" s="8">
        <v>0.25</v>
      </c>
      <c r="K292" s="9">
        <f>21.61</f>
        <v>21.61</v>
      </c>
      <c r="L292" s="9">
        <f>799.57</f>
        <v>799.57</v>
      </c>
      <c r="M292" s="4"/>
      <c r="N292" s="10">
        <v>1</v>
      </c>
      <c r="O292" s="4" t="s">
        <v>26</v>
      </c>
      <c r="P292" s="11">
        <v>37</v>
      </c>
      <c r="Q292" s="9">
        <f>799.57</f>
        <v>799.57</v>
      </c>
    </row>
    <row r="293" spans="1:17" ht="45" customHeight="1" x14ac:dyDescent="0.25">
      <c r="A293" s="4" t="s">
        <v>20</v>
      </c>
      <c r="B293" s="5" t="s">
        <v>846</v>
      </c>
      <c r="C293" s="4" t="s">
        <v>30</v>
      </c>
      <c r="D293" s="4" t="s">
        <v>847</v>
      </c>
      <c r="E293" s="4" t="s">
        <v>848</v>
      </c>
      <c r="F293" s="6">
        <f>2</f>
        <v>2</v>
      </c>
      <c r="G293" s="4" t="s">
        <v>25</v>
      </c>
      <c r="H293" s="7">
        <v>26.21</v>
      </c>
      <c r="I293" s="7">
        <v>26.21</v>
      </c>
      <c r="J293" s="8">
        <v>0.25</v>
      </c>
      <c r="K293" s="9">
        <f>32.76</f>
        <v>32.76</v>
      </c>
      <c r="L293" s="9">
        <f>65.52</f>
        <v>65.52</v>
      </c>
      <c r="M293" s="4"/>
      <c r="N293" s="10">
        <v>1</v>
      </c>
      <c r="O293" s="4" t="s">
        <v>26</v>
      </c>
      <c r="P293" s="11">
        <v>2</v>
      </c>
      <c r="Q293" s="9">
        <f>65.52</f>
        <v>65.52</v>
      </c>
    </row>
    <row r="294" spans="1:17" ht="45" customHeight="1" x14ac:dyDescent="0.25">
      <c r="A294" s="4" t="s">
        <v>20</v>
      </c>
      <c r="B294" s="5" t="s">
        <v>849</v>
      </c>
      <c r="C294" s="4" t="s">
        <v>30</v>
      </c>
      <c r="D294" s="4" t="s">
        <v>850</v>
      </c>
      <c r="E294" s="4" t="s">
        <v>851</v>
      </c>
      <c r="F294" s="6">
        <f>16</f>
        <v>16</v>
      </c>
      <c r="G294" s="4" t="s">
        <v>25</v>
      </c>
      <c r="H294" s="7">
        <v>31.62</v>
      </c>
      <c r="I294" s="7">
        <v>31.62</v>
      </c>
      <c r="J294" s="8">
        <v>0.25</v>
      </c>
      <c r="K294" s="9">
        <f>39.53</f>
        <v>39.53</v>
      </c>
      <c r="L294" s="9">
        <f>632.48</f>
        <v>632.48</v>
      </c>
      <c r="M294" s="4"/>
      <c r="N294" s="10">
        <v>1</v>
      </c>
      <c r="O294" s="4" t="s">
        <v>26</v>
      </c>
      <c r="P294" s="11">
        <v>16</v>
      </c>
      <c r="Q294" s="9">
        <f>632.48</f>
        <v>632.48</v>
      </c>
    </row>
    <row r="295" spans="1:17" ht="45" customHeight="1" x14ac:dyDescent="0.25">
      <c r="A295" s="4" t="s">
        <v>20</v>
      </c>
      <c r="B295" s="5" t="s">
        <v>852</v>
      </c>
      <c r="C295" s="4" t="s">
        <v>30</v>
      </c>
      <c r="D295" s="4" t="s">
        <v>853</v>
      </c>
      <c r="E295" s="4" t="s">
        <v>854</v>
      </c>
      <c r="F295" s="6">
        <f>29</f>
        <v>29</v>
      </c>
      <c r="G295" s="4" t="s">
        <v>25</v>
      </c>
      <c r="H295" s="7">
        <v>11.77</v>
      </c>
      <c r="I295" s="7">
        <v>11.77</v>
      </c>
      <c r="J295" s="8">
        <v>0.25</v>
      </c>
      <c r="K295" s="9">
        <f>14.71</f>
        <v>14.71</v>
      </c>
      <c r="L295" s="9">
        <f>426.59</f>
        <v>426.59</v>
      </c>
      <c r="M295" s="4"/>
      <c r="N295" s="10">
        <v>1</v>
      </c>
      <c r="O295" s="4" t="s">
        <v>26</v>
      </c>
      <c r="P295" s="11">
        <v>29</v>
      </c>
      <c r="Q295" s="9">
        <f>426.59</f>
        <v>426.59</v>
      </c>
    </row>
    <row r="296" spans="1:17" ht="45" customHeight="1" x14ac:dyDescent="0.25">
      <c r="A296" s="4" t="s">
        <v>20</v>
      </c>
      <c r="B296" s="5" t="s">
        <v>855</v>
      </c>
      <c r="C296" s="4" t="s">
        <v>30</v>
      </c>
      <c r="D296" s="4" t="s">
        <v>856</v>
      </c>
      <c r="E296" s="4" t="s">
        <v>857</v>
      </c>
      <c r="F296" s="6">
        <f>26</f>
        <v>26</v>
      </c>
      <c r="G296" s="4" t="s">
        <v>25</v>
      </c>
      <c r="H296" s="7">
        <v>16.420000000000002</v>
      </c>
      <c r="I296" s="7">
        <v>16.420000000000002</v>
      </c>
      <c r="J296" s="8">
        <v>0.25</v>
      </c>
      <c r="K296" s="9">
        <f>20.53</f>
        <v>20.53</v>
      </c>
      <c r="L296" s="9">
        <f>533.78</f>
        <v>533.78</v>
      </c>
      <c r="M296" s="4"/>
      <c r="N296" s="10">
        <v>1</v>
      </c>
      <c r="O296" s="4" t="s">
        <v>26</v>
      </c>
      <c r="P296" s="11">
        <v>26</v>
      </c>
      <c r="Q296" s="9">
        <f>533.78</f>
        <v>533.78</v>
      </c>
    </row>
    <row r="297" spans="1:17" ht="45" customHeight="1" x14ac:dyDescent="0.25">
      <c r="A297" s="4" t="s">
        <v>20</v>
      </c>
      <c r="B297" s="5" t="s">
        <v>858</v>
      </c>
      <c r="C297" s="4" t="s">
        <v>30</v>
      </c>
      <c r="D297" s="4" t="s">
        <v>859</v>
      </c>
      <c r="E297" s="4" t="s">
        <v>860</v>
      </c>
      <c r="F297" s="6">
        <f>5</f>
        <v>5</v>
      </c>
      <c r="G297" s="4" t="s">
        <v>25</v>
      </c>
      <c r="H297" s="7">
        <v>30.62</v>
      </c>
      <c r="I297" s="7">
        <v>30.62</v>
      </c>
      <c r="J297" s="8">
        <v>0.25</v>
      </c>
      <c r="K297" s="9">
        <f>38.28</f>
        <v>38.28</v>
      </c>
      <c r="L297" s="9">
        <f>191.4</f>
        <v>191.4</v>
      </c>
      <c r="M297" s="4"/>
      <c r="N297" s="10">
        <v>1</v>
      </c>
      <c r="O297" s="4" t="s">
        <v>26</v>
      </c>
      <c r="P297" s="11">
        <v>5</v>
      </c>
      <c r="Q297" s="9">
        <f>191.4</f>
        <v>191.4</v>
      </c>
    </row>
    <row r="298" spans="1:17" ht="45" customHeight="1" x14ac:dyDescent="0.25">
      <c r="A298" s="4" t="s">
        <v>20</v>
      </c>
      <c r="B298" s="5" t="s">
        <v>861</v>
      </c>
      <c r="C298" s="4" t="s">
        <v>30</v>
      </c>
      <c r="D298" s="4" t="s">
        <v>862</v>
      </c>
      <c r="E298" s="4" t="s">
        <v>863</v>
      </c>
      <c r="F298" s="6">
        <f>8</f>
        <v>8</v>
      </c>
      <c r="G298" s="4" t="s">
        <v>25</v>
      </c>
      <c r="H298" s="7">
        <v>57.98</v>
      </c>
      <c r="I298" s="7">
        <v>57.98</v>
      </c>
      <c r="J298" s="8">
        <v>0.25</v>
      </c>
      <c r="K298" s="9">
        <f>72.48</f>
        <v>72.48</v>
      </c>
      <c r="L298" s="9">
        <f>579.84</f>
        <v>579.84</v>
      </c>
      <c r="M298" s="4"/>
      <c r="N298" s="10">
        <v>1</v>
      </c>
      <c r="O298" s="4" t="s">
        <v>26</v>
      </c>
      <c r="P298" s="11">
        <v>8</v>
      </c>
      <c r="Q298" s="9">
        <f>579.84</f>
        <v>579.84</v>
      </c>
    </row>
    <row r="299" spans="1:17" ht="45" customHeight="1" x14ac:dyDescent="0.25">
      <c r="A299" s="4" t="s">
        <v>20</v>
      </c>
      <c r="B299" s="5" t="s">
        <v>864</v>
      </c>
      <c r="C299" s="4" t="s">
        <v>30</v>
      </c>
      <c r="D299" s="4" t="s">
        <v>865</v>
      </c>
      <c r="E299" s="4" t="s">
        <v>866</v>
      </c>
      <c r="F299" s="6">
        <f>12</f>
        <v>12</v>
      </c>
      <c r="G299" s="4" t="s">
        <v>25</v>
      </c>
      <c r="H299" s="7">
        <v>29.65</v>
      </c>
      <c r="I299" s="7">
        <v>29.65</v>
      </c>
      <c r="J299" s="8">
        <v>0.25</v>
      </c>
      <c r="K299" s="9">
        <f>37.06</f>
        <v>37.06</v>
      </c>
      <c r="L299" s="9">
        <f>444.72</f>
        <v>444.72</v>
      </c>
      <c r="M299" s="4"/>
      <c r="N299" s="10">
        <v>1</v>
      </c>
      <c r="O299" s="4" t="s">
        <v>26</v>
      </c>
      <c r="P299" s="11">
        <v>12</v>
      </c>
      <c r="Q299" s="9">
        <f>444.72</f>
        <v>444.72</v>
      </c>
    </row>
    <row r="300" spans="1:17" ht="45" customHeight="1" x14ac:dyDescent="0.25">
      <c r="A300" s="4" t="s">
        <v>20</v>
      </c>
      <c r="B300" s="5" t="s">
        <v>867</v>
      </c>
      <c r="C300" s="4" t="s">
        <v>30</v>
      </c>
      <c r="D300" s="4" t="s">
        <v>868</v>
      </c>
      <c r="E300" s="4" t="s">
        <v>869</v>
      </c>
      <c r="F300" s="6">
        <f>6</f>
        <v>6</v>
      </c>
      <c r="G300" s="4" t="s">
        <v>25</v>
      </c>
      <c r="H300" s="7">
        <v>17.23</v>
      </c>
      <c r="I300" s="7">
        <v>17.23</v>
      </c>
      <c r="J300" s="8">
        <v>0.25</v>
      </c>
      <c r="K300" s="9">
        <f>21.54</f>
        <v>21.54</v>
      </c>
      <c r="L300" s="9">
        <f>129.24</f>
        <v>129.24</v>
      </c>
      <c r="M300" s="4"/>
      <c r="N300" s="10">
        <v>1</v>
      </c>
      <c r="O300" s="4" t="s">
        <v>26</v>
      </c>
      <c r="P300" s="11">
        <v>6</v>
      </c>
      <c r="Q300" s="9">
        <f>129.24</f>
        <v>129.24</v>
      </c>
    </row>
    <row r="301" spans="1:17" ht="45" customHeight="1" x14ac:dyDescent="0.25">
      <c r="A301" s="4" t="s">
        <v>20</v>
      </c>
      <c r="B301" s="5" t="s">
        <v>870</v>
      </c>
      <c r="C301" s="4" t="s">
        <v>30</v>
      </c>
      <c r="D301" s="4" t="s">
        <v>871</v>
      </c>
      <c r="E301" s="4" t="s">
        <v>872</v>
      </c>
      <c r="F301" s="6">
        <f>3</f>
        <v>3</v>
      </c>
      <c r="G301" s="4" t="s">
        <v>25</v>
      </c>
      <c r="H301" s="7">
        <v>106.62</v>
      </c>
      <c r="I301" s="7">
        <v>106.62</v>
      </c>
      <c r="J301" s="8">
        <v>0.25</v>
      </c>
      <c r="K301" s="9">
        <f>133.28</f>
        <v>133.28</v>
      </c>
      <c r="L301" s="9">
        <f>399.84</f>
        <v>399.84</v>
      </c>
      <c r="M301" s="4"/>
      <c r="N301" s="10">
        <v>1</v>
      </c>
      <c r="O301" s="4" t="s">
        <v>26</v>
      </c>
      <c r="P301" s="11">
        <v>3</v>
      </c>
      <c r="Q301" s="9">
        <f>399.84</f>
        <v>399.84</v>
      </c>
    </row>
    <row r="302" spans="1:17" ht="45" customHeight="1" x14ac:dyDescent="0.25">
      <c r="A302" s="4" t="s">
        <v>20</v>
      </c>
      <c r="B302" s="5" t="s">
        <v>873</v>
      </c>
      <c r="C302" s="4" t="s">
        <v>22</v>
      </c>
      <c r="D302" s="4" t="s">
        <v>874</v>
      </c>
      <c r="E302" s="4" t="s">
        <v>875</v>
      </c>
      <c r="F302" s="6">
        <f>7</f>
        <v>7</v>
      </c>
      <c r="G302" s="4" t="s">
        <v>25</v>
      </c>
      <c r="H302" s="7">
        <v>38.93</v>
      </c>
      <c r="I302" s="7">
        <v>38.909999999999997</v>
      </c>
      <c r="J302" s="8">
        <v>0.25</v>
      </c>
      <c r="K302" s="9">
        <f>48.64</f>
        <v>48.64</v>
      </c>
      <c r="L302" s="9">
        <f>340.48</f>
        <v>340.48</v>
      </c>
      <c r="M302" s="4"/>
      <c r="N302" s="10">
        <v>1</v>
      </c>
      <c r="O302" s="4" t="s">
        <v>26</v>
      </c>
      <c r="P302" s="11">
        <v>7</v>
      </c>
      <c r="Q302" s="9">
        <f>340.48</f>
        <v>340.48</v>
      </c>
    </row>
    <row r="303" spans="1:17" ht="45" customHeight="1" x14ac:dyDescent="0.25">
      <c r="A303" s="4" t="s">
        <v>20</v>
      </c>
      <c r="B303" s="5" t="s">
        <v>876</v>
      </c>
      <c r="C303" s="4" t="s">
        <v>30</v>
      </c>
      <c r="D303" s="4" t="s">
        <v>877</v>
      </c>
      <c r="E303" s="4" t="s">
        <v>878</v>
      </c>
      <c r="F303" s="6">
        <f>1</f>
        <v>1</v>
      </c>
      <c r="G303" s="4" t="s">
        <v>25</v>
      </c>
      <c r="H303" s="7">
        <v>26.85</v>
      </c>
      <c r="I303" s="7">
        <v>26.85</v>
      </c>
      <c r="J303" s="8">
        <v>0.25</v>
      </c>
      <c r="K303" s="9">
        <f>33.56</f>
        <v>33.56</v>
      </c>
      <c r="L303" s="9">
        <f>33.56</f>
        <v>33.56</v>
      </c>
      <c r="M303" s="4"/>
      <c r="N303" s="10">
        <v>1</v>
      </c>
      <c r="O303" s="4" t="s">
        <v>26</v>
      </c>
      <c r="P303" s="11">
        <v>1</v>
      </c>
      <c r="Q303" s="9">
        <f>33.56</f>
        <v>33.56</v>
      </c>
    </row>
    <row r="304" spans="1:17" ht="45" customHeight="1" x14ac:dyDescent="0.25">
      <c r="A304" s="4" t="s">
        <v>20</v>
      </c>
      <c r="B304" s="5" t="s">
        <v>879</v>
      </c>
      <c r="C304" s="4" t="s">
        <v>30</v>
      </c>
      <c r="D304" s="4" t="s">
        <v>800</v>
      </c>
      <c r="E304" s="4" t="s">
        <v>801</v>
      </c>
      <c r="F304" s="6">
        <f>12</f>
        <v>12</v>
      </c>
      <c r="G304" s="4" t="s">
        <v>25</v>
      </c>
      <c r="H304" s="7">
        <v>588.82000000000005</v>
      </c>
      <c r="I304" s="7">
        <v>588.82000000000005</v>
      </c>
      <c r="J304" s="8">
        <v>0.25</v>
      </c>
      <c r="K304" s="9">
        <f>736.03</f>
        <v>736.03</v>
      </c>
      <c r="L304" s="9">
        <f>8832.36</f>
        <v>8832.36</v>
      </c>
      <c r="M304" s="4"/>
      <c r="N304" s="10">
        <v>1</v>
      </c>
      <c r="O304" s="4" t="s">
        <v>26</v>
      </c>
      <c r="P304" s="11">
        <v>12</v>
      </c>
      <c r="Q304" s="9">
        <f>8832.36</f>
        <v>8832.36</v>
      </c>
    </row>
    <row r="305" spans="1:17" ht="45" customHeight="1" x14ac:dyDescent="0.25">
      <c r="A305" s="4" t="s">
        <v>20</v>
      </c>
      <c r="B305" s="5" t="s">
        <v>880</v>
      </c>
      <c r="C305" s="4" t="s">
        <v>22</v>
      </c>
      <c r="D305" s="4" t="s">
        <v>881</v>
      </c>
      <c r="E305" s="4" t="s">
        <v>882</v>
      </c>
      <c r="F305" s="6">
        <f>12</f>
        <v>12</v>
      </c>
      <c r="G305" s="4" t="s">
        <v>25</v>
      </c>
      <c r="H305" s="7">
        <v>483.01</v>
      </c>
      <c r="I305" s="7">
        <v>483.01</v>
      </c>
      <c r="J305" s="8">
        <v>0.25</v>
      </c>
      <c r="K305" s="9">
        <f>603.76</f>
        <v>603.76</v>
      </c>
      <c r="L305" s="9">
        <f>7245.12</f>
        <v>7245.12</v>
      </c>
      <c r="M305" s="4"/>
      <c r="N305" s="10">
        <v>1</v>
      </c>
      <c r="O305" s="4" t="s">
        <v>26</v>
      </c>
      <c r="P305" s="11">
        <v>12</v>
      </c>
      <c r="Q305" s="9">
        <f>7245.12</f>
        <v>7245.12</v>
      </c>
    </row>
    <row r="306" spans="1:17" ht="45" customHeight="1" x14ac:dyDescent="0.25">
      <c r="A306" s="4" t="s">
        <v>20</v>
      </c>
      <c r="B306" s="5" t="s">
        <v>883</v>
      </c>
      <c r="C306" s="4" t="s">
        <v>30</v>
      </c>
      <c r="D306" s="4" t="s">
        <v>884</v>
      </c>
      <c r="E306" s="4" t="s">
        <v>885</v>
      </c>
      <c r="F306" s="6">
        <f>12</f>
        <v>12</v>
      </c>
      <c r="G306" s="4" t="s">
        <v>25</v>
      </c>
      <c r="H306" s="7">
        <v>81.97</v>
      </c>
      <c r="I306" s="7">
        <v>81.97</v>
      </c>
      <c r="J306" s="8">
        <v>0.25</v>
      </c>
      <c r="K306" s="9">
        <f>102.46</f>
        <v>102.46</v>
      </c>
      <c r="L306" s="9">
        <f>1229.52</f>
        <v>1229.52</v>
      </c>
      <c r="M306" s="4"/>
      <c r="N306" s="10">
        <v>1</v>
      </c>
      <c r="O306" s="4" t="s">
        <v>26</v>
      </c>
      <c r="P306" s="11">
        <v>12</v>
      </c>
      <c r="Q306" s="9">
        <f>1229.52</f>
        <v>1229.52</v>
      </c>
    </row>
    <row r="307" spans="1:17" ht="45" customHeight="1" x14ac:dyDescent="0.25">
      <c r="A307" s="4" t="s">
        <v>20</v>
      </c>
      <c r="B307" s="5" t="s">
        <v>886</v>
      </c>
      <c r="C307" s="4" t="s">
        <v>30</v>
      </c>
      <c r="D307" s="4" t="s">
        <v>887</v>
      </c>
      <c r="E307" s="4" t="s">
        <v>888</v>
      </c>
      <c r="F307" s="6">
        <f>3</f>
        <v>3</v>
      </c>
      <c r="G307" s="4" t="s">
        <v>25</v>
      </c>
      <c r="H307" s="7">
        <v>121.46</v>
      </c>
      <c r="I307" s="7">
        <v>121.46</v>
      </c>
      <c r="J307" s="8">
        <v>0.25</v>
      </c>
      <c r="K307" s="9">
        <f>151.83</f>
        <v>151.83000000000001</v>
      </c>
      <c r="L307" s="9">
        <f>455.49</f>
        <v>455.49</v>
      </c>
      <c r="M307" s="4"/>
      <c r="N307" s="10">
        <v>1</v>
      </c>
      <c r="O307" s="4" t="s">
        <v>26</v>
      </c>
      <c r="P307" s="11">
        <v>3</v>
      </c>
      <c r="Q307" s="9">
        <f>455.49</f>
        <v>455.49</v>
      </c>
    </row>
    <row r="308" spans="1:17" ht="45" customHeight="1" x14ac:dyDescent="0.25">
      <c r="A308" s="4" t="s">
        <v>20</v>
      </c>
      <c r="B308" s="5" t="s">
        <v>889</v>
      </c>
      <c r="C308" s="4" t="s">
        <v>30</v>
      </c>
      <c r="D308" s="4" t="s">
        <v>890</v>
      </c>
      <c r="E308" s="4" t="s">
        <v>891</v>
      </c>
      <c r="F308" s="6">
        <f>16</f>
        <v>16</v>
      </c>
      <c r="G308" s="4" t="s">
        <v>25</v>
      </c>
      <c r="H308" s="7">
        <v>21.24</v>
      </c>
      <c r="I308" s="7">
        <v>21.24</v>
      </c>
      <c r="J308" s="8">
        <v>0.25</v>
      </c>
      <c r="K308" s="9">
        <f>26.55</f>
        <v>26.55</v>
      </c>
      <c r="L308" s="9">
        <f>424.8</f>
        <v>424.8</v>
      </c>
      <c r="M308" s="4"/>
      <c r="N308" s="10">
        <v>1</v>
      </c>
      <c r="O308" s="4" t="s">
        <v>26</v>
      </c>
      <c r="P308" s="11">
        <v>16</v>
      </c>
      <c r="Q308" s="9">
        <f>424.8</f>
        <v>424.8</v>
      </c>
    </row>
    <row r="309" spans="1:17" ht="45" customHeight="1" x14ac:dyDescent="0.25">
      <c r="A309" s="4" t="s">
        <v>20</v>
      </c>
      <c r="B309" s="5" t="s">
        <v>892</v>
      </c>
      <c r="C309" s="4" t="s">
        <v>22</v>
      </c>
      <c r="D309" s="4" t="s">
        <v>893</v>
      </c>
      <c r="E309" s="4" t="s">
        <v>894</v>
      </c>
      <c r="F309" s="6">
        <f>3</f>
        <v>3</v>
      </c>
      <c r="G309" s="4" t="s">
        <v>46</v>
      </c>
      <c r="H309" s="7">
        <v>144.66999999999999</v>
      </c>
      <c r="I309" s="7">
        <v>144.66</v>
      </c>
      <c r="J309" s="8">
        <v>0.25</v>
      </c>
      <c r="K309" s="9">
        <f>180.83</f>
        <v>180.83</v>
      </c>
      <c r="L309" s="9">
        <f>542.49</f>
        <v>542.49</v>
      </c>
      <c r="M309" s="4"/>
      <c r="N309" s="10">
        <v>1</v>
      </c>
      <c r="O309" s="4" t="s">
        <v>26</v>
      </c>
      <c r="P309" s="11">
        <v>3</v>
      </c>
      <c r="Q309" s="9">
        <f>542.49</f>
        <v>542.49</v>
      </c>
    </row>
    <row r="310" spans="1:17" ht="45" customHeight="1" x14ac:dyDescent="0.25">
      <c r="A310" s="4" t="s">
        <v>20</v>
      </c>
      <c r="B310" s="5" t="s">
        <v>895</v>
      </c>
      <c r="C310" s="4" t="s">
        <v>30</v>
      </c>
      <c r="D310" s="4" t="s">
        <v>896</v>
      </c>
      <c r="E310" s="4" t="s">
        <v>897</v>
      </c>
      <c r="F310" s="6">
        <f>5</f>
        <v>5</v>
      </c>
      <c r="G310" s="4" t="s">
        <v>25</v>
      </c>
      <c r="H310" s="7">
        <v>193.64</v>
      </c>
      <c r="I310" s="7">
        <v>193.64</v>
      </c>
      <c r="J310" s="8">
        <v>0.25</v>
      </c>
      <c r="K310" s="9">
        <f>242.05</f>
        <v>242.05</v>
      </c>
      <c r="L310" s="9">
        <f>1210.25</f>
        <v>1210.25</v>
      </c>
      <c r="M310" s="4"/>
      <c r="N310" s="10">
        <v>1</v>
      </c>
      <c r="O310" s="4" t="s">
        <v>26</v>
      </c>
      <c r="P310" s="11">
        <v>5</v>
      </c>
      <c r="Q310" s="9">
        <f>1210.25</f>
        <v>1210.25</v>
      </c>
    </row>
    <row r="311" spans="1:17" ht="45" customHeight="1" x14ac:dyDescent="0.25">
      <c r="A311" s="4" t="s">
        <v>20</v>
      </c>
      <c r="B311" s="5" t="s">
        <v>898</v>
      </c>
      <c r="C311" s="4" t="s">
        <v>30</v>
      </c>
      <c r="D311" s="4" t="s">
        <v>899</v>
      </c>
      <c r="E311" s="4" t="s">
        <v>900</v>
      </c>
      <c r="F311" s="6">
        <f>1</f>
        <v>1</v>
      </c>
      <c r="G311" s="4" t="s">
        <v>25</v>
      </c>
      <c r="H311" s="7">
        <v>12438.35</v>
      </c>
      <c r="I311" s="7">
        <v>12438.35</v>
      </c>
      <c r="J311" s="8">
        <v>0.25</v>
      </c>
      <c r="K311" s="9">
        <f>15547.94</f>
        <v>15547.94</v>
      </c>
      <c r="L311" s="9">
        <f>15547.94</f>
        <v>15547.94</v>
      </c>
      <c r="M311" s="4"/>
      <c r="N311" s="10">
        <v>1</v>
      </c>
      <c r="O311" s="4" t="s">
        <v>26</v>
      </c>
      <c r="P311" s="11">
        <v>1</v>
      </c>
      <c r="Q311" s="9">
        <f>15547.94</f>
        <v>15547.94</v>
      </c>
    </row>
    <row r="312" spans="1:17" ht="45" customHeight="1" x14ac:dyDescent="0.25">
      <c r="A312" s="4" t="s">
        <v>20</v>
      </c>
      <c r="B312" s="5" t="s">
        <v>901</v>
      </c>
      <c r="C312" s="4" t="s">
        <v>30</v>
      </c>
      <c r="D312" s="4" t="s">
        <v>902</v>
      </c>
      <c r="E312" s="4" t="s">
        <v>903</v>
      </c>
      <c r="F312" s="6">
        <f>1</f>
        <v>1</v>
      </c>
      <c r="G312" s="4" t="s">
        <v>25</v>
      </c>
      <c r="H312" s="7">
        <v>8163.72</v>
      </c>
      <c r="I312" s="7">
        <v>8163.72</v>
      </c>
      <c r="J312" s="8">
        <v>0.25</v>
      </c>
      <c r="K312" s="9">
        <f>10204.65</f>
        <v>10204.65</v>
      </c>
      <c r="L312" s="9">
        <f>10204.65</f>
        <v>10204.65</v>
      </c>
      <c r="M312" s="4"/>
      <c r="N312" s="10">
        <v>1</v>
      </c>
      <c r="O312" s="4" t="s">
        <v>26</v>
      </c>
      <c r="P312" s="11">
        <v>1</v>
      </c>
      <c r="Q312" s="9">
        <f>10204.65</f>
        <v>10204.65</v>
      </c>
    </row>
    <row r="313" spans="1:17" ht="45" customHeight="1" x14ac:dyDescent="0.25">
      <c r="A313" s="4" t="s">
        <v>20</v>
      </c>
      <c r="B313" s="5" t="s">
        <v>904</v>
      </c>
      <c r="C313" s="4" t="s">
        <v>30</v>
      </c>
      <c r="D313" s="4" t="s">
        <v>905</v>
      </c>
      <c r="E313" s="4" t="s">
        <v>906</v>
      </c>
      <c r="F313" s="6">
        <f>1</f>
        <v>1</v>
      </c>
      <c r="G313" s="4" t="s">
        <v>25</v>
      </c>
      <c r="H313" s="7">
        <v>8714.5400000000009</v>
      </c>
      <c r="I313" s="7">
        <v>8714.5400000000009</v>
      </c>
      <c r="J313" s="8">
        <v>0.25</v>
      </c>
      <c r="K313" s="9">
        <f>10893.18</f>
        <v>10893.18</v>
      </c>
      <c r="L313" s="9">
        <f>10893.18</f>
        <v>10893.18</v>
      </c>
      <c r="M313" s="4"/>
      <c r="N313" s="10">
        <v>1</v>
      </c>
      <c r="O313" s="4" t="s">
        <v>26</v>
      </c>
      <c r="P313" s="11">
        <v>1</v>
      </c>
      <c r="Q313" s="9">
        <f>10893.18</f>
        <v>10893.18</v>
      </c>
    </row>
    <row r="314" spans="1:17" ht="45" customHeight="1" x14ac:dyDescent="0.25">
      <c r="A314" s="4" t="s">
        <v>20</v>
      </c>
      <c r="B314" s="5" t="s">
        <v>907</v>
      </c>
      <c r="C314" s="4" t="s">
        <v>30</v>
      </c>
      <c r="D314" s="4" t="s">
        <v>844</v>
      </c>
      <c r="E314" s="4" t="s">
        <v>845</v>
      </c>
      <c r="F314" s="6">
        <f>6</f>
        <v>6</v>
      </c>
      <c r="G314" s="4" t="s">
        <v>25</v>
      </c>
      <c r="H314" s="7">
        <v>17.29</v>
      </c>
      <c r="I314" s="7">
        <v>17.29</v>
      </c>
      <c r="J314" s="8">
        <v>0.25</v>
      </c>
      <c r="K314" s="9">
        <f>21.61</f>
        <v>21.61</v>
      </c>
      <c r="L314" s="9">
        <f>129.66</f>
        <v>129.66</v>
      </c>
      <c r="M314" s="4"/>
      <c r="N314" s="10">
        <v>1</v>
      </c>
      <c r="O314" s="4" t="s">
        <v>26</v>
      </c>
      <c r="P314" s="11">
        <v>6</v>
      </c>
      <c r="Q314" s="9">
        <f>129.66</f>
        <v>129.66</v>
      </c>
    </row>
    <row r="315" spans="1:17" ht="45" customHeight="1" x14ac:dyDescent="0.25">
      <c r="A315" s="4" t="s">
        <v>20</v>
      </c>
      <c r="B315" s="5" t="s">
        <v>908</v>
      </c>
      <c r="C315" s="4" t="s">
        <v>30</v>
      </c>
      <c r="D315" s="4" t="s">
        <v>856</v>
      </c>
      <c r="E315" s="4" t="s">
        <v>857</v>
      </c>
      <c r="F315" s="6">
        <f>77</f>
        <v>77</v>
      </c>
      <c r="G315" s="4" t="s">
        <v>25</v>
      </c>
      <c r="H315" s="7">
        <v>16.420000000000002</v>
      </c>
      <c r="I315" s="7">
        <v>16.420000000000002</v>
      </c>
      <c r="J315" s="8">
        <v>0.25</v>
      </c>
      <c r="K315" s="9">
        <f>20.53</f>
        <v>20.53</v>
      </c>
      <c r="L315" s="9">
        <f>1580.81</f>
        <v>1580.81</v>
      </c>
      <c r="M315" s="4"/>
      <c r="N315" s="10">
        <v>1</v>
      </c>
      <c r="O315" s="4" t="s">
        <v>26</v>
      </c>
      <c r="P315" s="11">
        <v>77</v>
      </c>
      <c r="Q315" s="9">
        <f>1580.81</f>
        <v>1580.81</v>
      </c>
    </row>
    <row r="316" spans="1:17" ht="45" customHeight="1" x14ac:dyDescent="0.25">
      <c r="A316" s="4" t="s">
        <v>20</v>
      </c>
      <c r="B316" s="5" t="s">
        <v>909</v>
      </c>
      <c r="C316" s="4" t="s">
        <v>30</v>
      </c>
      <c r="D316" s="4" t="s">
        <v>865</v>
      </c>
      <c r="E316" s="4" t="s">
        <v>866</v>
      </c>
      <c r="F316" s="6">
        <f>7</f>
        <v>7</v>
      </c>
      <c r="G316" s="4" t="s">
        <v>25</v>
      </c>
      <c r="H316" s="7">
        <v>29.65</v>
      </c>
      <c r="I316" s="7">
        <v>29.65</v>
      </c>
      <c r="J316" s="8">
        <v>0.25</v>
      </c>
      <c r="K316" s="9">
        <f>37.06</f>
        <v>37.06</v>
      </c>
      <c r="L316" s="9">
        <f>259.42</f>
        <v>259.42</v>
      </c>
      <c r="M316" s="4"/>
      <c r="N316" s="10">
        <v>1</v>
      </c>
      <c r="O316" s="4" t="s">
        <v>26</v>
      </c>
      <c r="P316" s="11">
        <v>7</v>
      </c>
      <c r="Q316" s="9">
        <f>259.42</f>
        <v>259.42</v>
      </c>
    </row>
    <row r="317" spans="1:17" ht="45" customHeight="1" x14ac:dyDescent="0.25">
      <c r="A317" s="4" t="s">
        <v>20</v>
      </c>
      <c r="B317" s="5" t="s">
        <v>910</v>
      </c>
      <c r="C317" s="4" t="s">
        <v>30</v>
      </c>
      <c r="D317" s="4" t="s">
        <v>911</v>
      </c>
      <c r="E317" s="4" t="s">
        <v>912</v>
      </c>
      <c r="F317" s="6">
        <f>6</f>
        <v>6</v>
      </c>
      <c r="G317" s="4" t="s">
        <v>25</v>
      </c>
      <c r="H317" s="7">
        <v>10.74</v>
      </c>
      <c r="I317" s="7">
        <v>10.74</v>
      </c>
      <c r="J317" s="8">
        <v>0.25</v>
      </c>
      <c r="K317" s="9">
        <f>13.43</f>
        <v>13.43</v>
      </c>
      <c r="L317" s="9">
        <f>80.58</f>
        <v>80.58</v>
      </c>
      <c r="M317" s="4"/>
      <c r="N317" s="10">
        <v>1</v>
      </c>
      <c r="O317" s="4" t="s">
        <v>26</v>
      </c>
      <c r="P317" s="11">
        <v>6</v>
      </c>
      <c r="Q317" s="9">
        <f>80.58</f>
        <v>80.58</v>
      </c>
    </row>
    <row r="318" spans="1:17" ht="45" customHeight="1" x14ac:dyDescent="0.25">
      <c r="A318" s="4" t="s">
        <v>20</v>
      </c>
      <c r="B318" s="5" t="s">
        <v>913</v>
      </c>
      <c r="C318" s="4" t="s">
        <v>30</v>
      </c>
      <c r="D318" s="4" t="s">
        <v>914</v>
      </c>
      <c r="E318" s="4" t="s">
        <v>915</v>
      </c>
      <c r="F318" s="6">
        <f>7</f>
        <v>7</v>
      </c>
      <c r="G318" s="4" t="s">
        <v>25</v>
      </c>
      <c r="H318" s="7">
        <v>13.19</v>
      </c>
      <c r="I318" s="7">
        <v>13.19</v>
      </c>
      <c r="J318" s="8">
        <v>0.25</v>
      </c>
      <c r="K318" s="9">
        <f>16.49</f>
        <v>16.489999999999998</v>
      </c>
      <c r="L318" s="9">
        <f>115.43</f>
        <v>115.43</v>
      </c>
      <c r="M318" s="4"/>
      <c r="N318" s="10">
        <v>1</v>
      </c>
      <c r="O318" s="4" t="s">
        <v>26</v>
      </c>
      <c r="P318" s="11">
        <v>7</v>
      </c>
      <c r="Q318" s="9">
        <f>115.43</f>
        <v>115.43</v>
      </c>
    </row>
    <row r="319" spans="1:17" ht="45" customHeight="1" x14ac:dyDescent="0.25">
      <c r="A319" s="4" t="s">
        <v>20</v>
      </c>
      <c r="B319" s="5" t="s">
        <v>916</v>
      </c>
      <c r="C319" s="4" t="s">
        <v>30</v>
      </c>
      <c r="D319" s="4" t="s">
        <v>817</v>
      </c>
      <c r="E319" s="4" t="s">
        <v>818</v>
      </c>
      <c r="F319" s="6">
        <f>203.2</f>
        <v>203.2</v>
      </c>
      <c r="G319" s="4" t="s">
        <v>46</v>
      </c>
      <c r="H319" s="7">
        <v>31.11</v>
      </c>
      <c r="I319" s="7">
        <v>31.11</v>
      </c>
      <c r="J319" s="8">
        <v>0.25</v>
      </c>
      <c r="K319" s="9">
        <f>38.89</f>
        <v>38.89</v>
      </c>
      <c r="L319" s="9">
        <f>7902.45</f>
        <v>7902.45</v>
      </c>
      <c r="M319" s="4"/>
      <c r="N319" s="10">
        <v>1</v>
      </c>
      <c r="O319" s="4" t="s">
        <v>26</v>
      </c>
      <c r="P319" s="11">
        <v>203.2</v>
      </c>
      <c r="Q319" s="9">
        <f>7902.45</f>
        <v>7902.45</v>
      </c>
    </row>
    <row r="320" spans="1:17" ht="45" customHeight="1" x14ac:dyDescent="0.25">
      <c r="A320" s="4" t="s">
        <v>20</v>
      </c>
      <c r="B320" s="5" t="s">
        <v>917</v>
      </c>
      <c r="C320" s="4" t="s">
        <v>30</v>
      </c>
      <c r="D320" s="4" t="s">
        <v>918</v>
      </c>
      <c r="E320" s="4" t="s">
        <v>919</v>
      </c>
      <c r="F320" s="6">
        <f>4</f>
        <v>4</v>
      </c>
      <c r="G320" s="4" t="s">
        <v>25</v>
      </c>
      <c r="H320" s="7">
        <v>45.78</v>
      </c>
      <c r="I320" s="7">
        <v>45.78</v>
      </c>
      <c r="J320" s="8">
        <v>0.25</v>
      </c>
      <c r="K320" s="9">
        <f>57.23</f>
        <v>57.23</v>
      </c>
      <c r="L320" s="9">
        <f>228.92</f>
        <v>228.92</v>
      </c>
      <c r="M320" s="4"/>
      <c r="N320" s="10">
        <v>1</v>
      </c>
      <c r="O320" s="4" t="s">
        <v>26</v>
      </c>
      <c r="P320" s="11">
        <v>4</v>
      </c>
      <c r="Q320" s="9">
        <f>228.92</f>
        <v>228.92</v>
      </c>
    </row>
    <row r="321" spans="1:17" ht="45" customHeight="1" x14ac:dyDescent="0.25">
      <c r="A321" s="4" t="s">
        <v>20</v>
      </c>
      <c r="B321" s="5" t="s">
        <v>920</v>
      </c>
      <c r="C321" s="4" t="s">
        <v>30</v>
      </c>
      <c r="D321" s="4" t="s">
        <v>877</v>
      </c>
      <c r="E321" s="4" t="s">
        <v>878</v>
      </c>
      <c r="F321" s="6">
        <f>52</f>
        <v>52</v>
      </c>
      <c r="G321" s="4" t="s">
        <v>25</v>
      </c>
      <c r="H321" s="7">
        <v>26.85</v>
      </c>
      <c r="I321" s="7">
        <v>26.85</v>
      </c>
      <c r="J321" s="8">
        <v>0.25</v>
      </c>
      <c r="K321" s="9">
        <f>33.56</f>
        <v>33.56</v>
      </c>
      <c r="L321" s="9">
        <f>1745.12</f>
        <v>1745.12</v>
      </c>
      <c r="M321" s="4"/>
      <c r="N321" s="10">
        <v>1</v>
      </c>
      <c r="O321" s="4" t="s">
        <v>26</v>
      </c>
      <c r="P321" s="11">
        <v>52</v>
      </c>
      <c r="Q321" s="9">
        <f>1745.12</f>
        <v>1745.12</v>
      </c>
    </row>
    <row r="322" spans="1:17" ht="45" customHeight="1" x14ac:dyDescent="0.25">
      <c r="A322" s="4" t="s">
        <v>20</v>
      </c>
      <c r="B322" s="5" t="s">
        <v>921</v>
      </c>
      <c r="C322" s="4" t="s">
        <v>30</v>
      </c>
      <c r="D322" s="4" t="s">
        <v>922</v>
      </c>
      <c r="E322" s="4" t="s">
        <v>923</v>
      </c>
      <c r="F322" s="6">
        <f>3</f>
        <v>3</v>
      </c>
      <c r="G322" s="4" t="s">
        <v>25</v>
      </c>
      <c r="H322" s="7">
        <v>71.61</v>
      </c>
      <c r="I322" s="7">
        <v>71.61</v>
      </c>
      <c r="J322" s="8">
        <v>0.25</v>
      </c>
      <c r="K322" s="9">
        <f>89.51</f>
        <v>89.51</v>
      </c>
      <c r="L322" s="9">
        <f>268.53</f>
        <v>268.52999999999997</v>
      </c>
      <c r="M322" s="4"/>
      <c r="N322" s="10">
        <v>1</v>
      </c>
      <c r="O322" s="4" t="s">
        <v>26</v>
      </c>
      <c r="P322" s="11">
        <v>3</v>
      </c>
      <c r="Q322" s="9">
        <f>268.53</f>
        <v>268.52999999999997</v>
      </c>
    </row>
    <row r="323" spans="1:17" ht="45" customHeight="1" x14ac:dyDescent="0.25">
      <c r="A323" s="4" t="s">
        <v>17</v>
      </c>
      <c r="B323" s="5" t="s">
        <v>924</v>
      </c>
      <c r="C323" s="4"/>
      <c r="D323" s="4"/>
      <c r="E323" s="4" t="s">
        <v>925</v>
      </c>
      <c r="F323" s="6"/>
      <c r="G323" s="4"/>
      <c r="H323" s="7"/>
      <c r="I323" s="7"/>
      <c r="J323" s="8"/>
      <c r="K323" s="9"/>
      <c r="L323" s="9">
        <f>67608.23</f>
        <v>67608.23</v>
      </c>
      <c r="M323" s="4"/>
      <c r="N323" s="10"/>
      <c r="O323" s="4"/>
      <c r="P323" s="11"/>
      <c r="Q323" s="9"/>
    </row>
    <row r="324" spans="1:17" ht="45" customHeight="1" x14ac:dyDescent="0.25">
      <c r="A324" s="4" t="s">
        <v>20</v>
      </c>
      <c r="B324" s="5" t="s">
        <v>926</v>
      </c>
      <c r="C324" s="4" t="s">
        <v>30</v>
      </c>
      <c r="D324" s="4" t="s">
        <v>927</v>
      </c>
      <c r="E324" s="4" t="s">
        <v>928</v>
      </c>
      <c r="F324" s="6">
        <f>4</f>
        <v>4</v>
      </c>
      <c r="G324" s="4" t="s">
        <v>25</v>
      </c>
      <c r="H324" s="7">
        <v>343.33</v>
      </c>
      <c r="I324" s="7">
        <v>343.33</v>
      </c>
      <c r="J324" s="8">
        <v>0.25</v>
      </c>
      <c r="K324" s="9">
        <f>429.16</f>
        <v>429.16</v>
      </c>
      <c r="L324" s="9">
        <f>1716.64</f>
        <v>1716.64</v>
      </c>
      <c r="M324" s="4"/>
      <c r="N324" s="10">
        <v>1</v>
      </c>
      <c r="O324" s="4" t="s">
        <v>26</v>
      </c>
      <c r="P324" s="11">
        <v>4</v>
      </c>
      <c r="Q324" s="9">
        <f>1716.64</f>
        <v>1716.64</v>
      </c>
    </row>
    <row r="325" spans="1:17" ht="45" customHeight="1" x14ac:dyDescent="0.25">
      <c r="A325" s="4" t="s">
        <v>20</v>
      </c>
      <c r="B325" s="5" t="s">
        <v>929</v>
      </c>
      <c r="C325" s="4" t="s">
        <v>30</v>
      </c>
      <c r="D325" s="4" t="s">
        <v>930</v>
      </c>
      <c r="E325" s="4" t="s">
        <v>931</v>
      </c>
      <c r="F325" s="6">
        <f>10</f>
        <v>10</v>
      </c>
      <c r="G325" s="4" t="s">
        <v>25</v>
      </c>
      <c r="H325" s="7">
        <v>631.65</v>
      </c>
      <c r="I325" s="7">
        <v>631.65</v>
      </c>
      <c r="J325" s="8">
        <v>0.25</v>
      </c>
      <c r="K325" s="9">
        <f>789.56</f>
        <v>789.56</v>
      </c>
      <c r="L325" s="9">
        <f>7895.6</f>
        <v>7895.6</v>
      </c>
      <c r="M325" s="4"/>
      <c r="N325" s="10">
        <v>1</v>
      </c>
      <c r="O325" s="4" t="s">
        <v>26</v>
      </c>
      <c r="P325" s="11">
        <v>10</v>
      </c>
      <c r="Q325" s="9">
        <f>7895.6</f>
        <v>7895.6</v>
      </c>
    </row>
    <row r="326" spans="1:17" ht="45" customHeight="1" x14ac:dyDescent="0.25">
      <c r="A326" s="4" t="s">
        <v>20</v>
      </c>
      <c r="B326" s="5" t="s">
        <v>932</v>
      </c>
      <c r="C326" s="4" t="s">
        <v>30</v>
      </c>
      <c r="D326" s="4" t="s">
        <v>933</v>
      </c>
      <c r="E326" s="4" t="s">
        <v>934</v>
      </c>
      <c r="F326" s="6">
        <f>4</f>
        <v>4</v>
      </c>
      <c r="G326" s="4" t="s">
        <v>25</v>
      </c>
      <c r="H326" s="7">
        <v>39.36</v>
      </c>
      <c r="I326" s="7">
        <v>39.36</v>
      </c>
      <c r="J326" s="8">
        <v>0.25</v>
      </c>
      <c r="K326" s="9">
        <f>49.2</f>
        <v>49.2</v>
      </c>
      <c r="L326" s="9">
        <f>196.8</f>
        <v>196.8</v>
      </c>
      <c r="M326" s="4"/>
      <c r="N326" s="10">
        <v>1</v>
      </c>
      <c r="O326" s="4" t="s">
        <v>26</v>
      </c>
      <c r="P326" s="11">
        <v>4</v>
      </c>
      <c r="Q326" s="9">
        <f>196.8</f>
        <v>196.8</v>
      </c>
    </row>
    <row r="327" spans="1:17" ht="45" customHeight="1" x14ac:dyDescent="0.25">
      <c r="A327" s="4" t="s">
        <v>20</v>
      </c>
      <c r="B327" s="5" t="s">
        <v>935</v>
      </c>
      <c r="C327" s="4" t="s">
        <v>30</v>
      </c>
      <c r="D327" s="4" t="s">
        <v>936</v>
      </c>
      <c r="E327" s="4" t="s">
        <v>937</v>
      </c>
      <c r="F327" s="6">
        <f>10</f>
        <v>10</v>
      </c>
      <c r="G327" s="4" t="s">
        <v>25</v>
      </c>
      <c r="H327" s="7">
        <v>77.319999999999993</v>
      </c>
      <c r="I327" s="7">
        <v>77.319999999999993</v>
      </c>
      <c r="J327" s="8">
        <v>0.25</v>
      </c>
      <c r="K327" s="9">
        <f>96.65</f>
        <v>96.65</v>
      </c>
      <c r="L327" s="9">
        <f>966.5</f>
        <v>966.5</v>
      </c>
      <c r="M327" s="4"/>
      <c r="N327" s="10">
        <v>1</v>
      </c>
      <c r="O327" s="4" t="s">
        <v>26</v>
      </c>
      <c r="P327" s="11">
        <v>10</v>
      </c>
      <c r="Q327" s="9">
        <f>966.5</f>
        <v>966.5</v>
      </c>
    </row>
    <row r="328" spans="1:17" ht="45" customHeight="1" x14ac:dyDescent="0.25">
      <c r="A328" s="4" t="s">
        <v>20</v>
      </c>
      <c r="B328" s="5" t="s">
        <v>938</v>
      </c>
      <c r="C328" s="4" t="s">
        <v>22</v>
      </c>
      <c r="D328" s="4" t="s">
        <v>939</v>
      </c>
      <c r="E328" s="4" t="s">
        <v>940</v>
      </c>
      <c r="F328" s="6">
        <f>2</f>
        <v>2</v>
      </c>
      <c r="G328" s="4" t="s">
        <v>25</v>
      </c>
      <c r="H328" s="7">
        <v>545.53</v>
      </c>
      <c r="I328" s="7">
        <v>545.51</v>
      </c>
      <c r="J328" s="8">
        <v>0.25</v>
      </c>
      <c r="K328" s="9">
        <f>681.89</f>
        <v>681.89</v>
      </c>
      <c r="L328" s="9">
        <f>1363.78</f>
        <v>1363.78</v>
      </c>
      <c r="M328" s="4"/>
      <c r="N328" s="10">
        <v>1</v>
      </c>
      <c r="O328" s="4" t="s">
        <v>26</v>
      </c>
      <c r="P328" s="11">
        <v>2</v>
      </c>
      <c r="Q328" s="9">
        <f>1363.78</f>
        <v>1363.78</v>
      </c>
    </row>
    <row r="329" spans="1:17" ht="45" customHeight="1" x14ac:dyDescent="0.25">
      <c r="A329" s="4" t="s">
        <v>20</v>
      </c>
      <c r="B329" s="5" t="s">
        <v>941</v>
      </c>
      <c r="C329" s="4" t="s">
        <v>22</v>
      </c>
      <c r="D329" s="4" t="s">
        <v>942</v>
      </c>
      <c r="E329" s="4" t="s">
        <v>943</v>
      </c>
      <c r="F329" s="6">
        <f>3</f>
        <v>3</v>
      </c>
      <c r="G329" s="4" t="s">
        <v>25</v>
      </c>
      <c r="H329" s="7">
        <v>162.28</v>
      </c>
      <c r="I329" s="7">
        <v>162.27000000000001</v>
      </c>
      <c r="J329" s="8">
        <v>0.25</v>
      </c>
      <c r="K329" s="9">
        <f>202.84</f>
        <v>202.84</v>
      </c>
      <c r="L329" s="9">
        <f>608.52</f>
        <v>608.52</v>
      </c>
      <c r="M329" s="4"/>
      <c r="N329" s="10">
        <v>1</v>
      </c>
      <c r="O329" s="4" t="s">
        <v>26</v>
      </c>
      <c r="P329" s="11">
        <v>3</v>
      </c>
      <c r="Q329" s="9">
        <f>608.52</f>
        <v>608.52</v>
      </c>
    </row>
    <row r="330" spans="1:17" ht="45" customHeight="1" x14ac:dyDescent="0.25">
      <c r="A330" s="4" t="s">
        <v>20</v>
      </c>
      <c r="B330" s="5" t="s">
        <v>944</v>
      </c>
      <c r="C330" s="4" t="s">
        <v>30</v>
      </c>
      <c r="D330" s="4" t="s">
        <v>945</v>
      </c>
      <c r="E330" s="4" t="s">
        <v>946</v>
      </c>
      <c r="F330" s="6">
        <f>14</f>
        <v>14</v>
      </c>
      <c r="G330" s="4" t="s">
        <v>25</v>
      </c>
      <c r="H330" s="7">
        <v>167.11</v>
      </c>
      <c r="I330" s="7">
        <v>167.11</v>
      </c>
      <c r="J330" s="8">
        <v>0.25</v>
      </c>
      <c r="K330" s="9">
        <f>208.89</f>
        <v>208.89</v>
      </c>
      <c r="L330" s="9">
        <f>2924.46</f>
        <v>2924.46</v>
      </c>
      <c r="M330" s="4"/>
      <c r="N330" s="10">
        <v>1</v>
      </c>
      <c r="O330" s="4" t="s">
        <v>26</v>
      </c>
      <c r="P330" s="11">
        <v>14</v>
      </c>
      <c r="Q330" s="9">
        <f>2924.46</f>
        <v>2924.46</v>
      </c>
    </row>
    <row r="331" spans="1:17" ht="45" customHeight="1" x14ac:dyDescent="0.25">
      <c r="A331" s="4" t="s">
        <v>20</v>
      </c>
      <c r="B331" s="5" t="s">
        <v>947</v>
      </c>
      <c r="C331" s="4" t="s">
        <v>30</v>
      </c>
      <c r="D331" s="4" t="s">
        <v>948</v>
      </c>
      <c r="E331" s="4" t="s">
        <v>949</v>
      </c>
      <c r="F331" s="6">
        <f>2</f>
        <v>2</v>
      </c>
      <c r="G331" s="4" t="s">
        <v>25</v>
      </c>
      <c r="H331" s="7">
        <v>336.62</v>
      </c>
      <c r="I331" s="7">
        <v>336.62</v>
      </c>
      <c r="J331" s="8">
        <v>0.25</v>
      </c>
      <c r="K331" s="9">
        <f>420.78</f>
        <v>420.78</v>
      </c>
      <c r="L331" s="9">
        <f>841.56</f>
        <v>841.56</v>
      </c>
      <c r="M331" s="4"/>
      <c r="N331" s="10">
        <v>1</v>
      </c>
      <c r="O331" s="4" t="s">
        <v>26</v>
      </c>
      <c r="P331" s="11">
        <v>2</v>
      </c>
      <c r="Q331" s="9">
        <f>841.56</f>
        <v>841.56</v>
      </c>
    </row>
    <row r="332" spans="1:17" ht="45" customHeight="1" x14ac:dyDescent="0.25">
      <c r="A332" s="4" t="s">
        <v>20</v>
      </c>
      <c r="B332" s="5" t="s">
        <v>950</v>
      </c>
      <c r="C332" s="4" t="s">
        <v>30</v>
      </c>
      <c r="D332" s="4" t="s">
        <v>951</v>
      </c>
      <c r="E332" s="4" t="s">
        <v>952</v>
      </c>
      <c r="F332" s="6">
        <f>4</f>
        <v>4</v>
      </c>
      <c r="G332" s="4" t="s">
        <v>25</v>
      </c>
      <c r="H332" s="7">
        <v>812.48</v>
      </c>
      <c r="I332" s="7">
        <v>812.48</v>
      </c>
      <c r="J332" s="8">
        <v>0.25</v>
      </c>
      <c r="K332" s="9">
        <f>1015.6</f>
        <v>1015.6</v>
      </c>
      <c r="L332" s="9">
        <f>4062.4</f>
        <v>4062.4</v>
      </c>
      <c r="M332" s="4"/>
      <c r="N332" s="10">
        <v>1</v>
      </c>
      <c r="O332" s="4" t="s">
        <v>26</v>
      </c>
      <c r="P332" s="11">
        <v>4</v>
      </c>
      <c r="Q332" s="9">
        <f>4062.4</f>
        <v>4062.4</v>
      </c>
    </row>
    <row r="333" spans="1:17" ht="45" customHeight="1" x14ac:dyDescent="0.25">
      <c r="A333" s="4" t="s">
        <v>20</v>
      </c>
      <c r="B333" s="5" t="s">
        <v>953</v>
      </c>
      <c r="C333" s="4" t="s">
        <v>30</v>
      </c>
      <c r="D333" s="4" t="s">
        <v>954</v>
      </c>
      <c r="E333" s="4" t="s">
        <v>955</v>
      </c>
      <c r="F333" s="6">
        <f>4</f>
        <v>4</v>
      </c>
      <c r="G333" s="4" t="s">
        <v>25</v>
      </c>
      <c r="H333" s="7">
        <v>236.8</v>
      </c>
      <c r="I333" s="7">
        <v>236.8</v>
      </c>
      <c r="J333" s="8">
        <v>0.25</v>
      </c>
      <c r="K333" s="9">
        <f>296</f>
        <v>296</v>
      </c>
      <c r="L333" s="9">
        <f>1184</f>
        <v>1184</v>
      </c>
      <c r="M333" s="4"/>
      <c r="N333" s="10">
        <v>1</v>
      </c>
      <c r="O333" s="4" t="s">
        <v>26</v>
      </c>
      <c r="P333" s="11">
        <v>4</v>
      </c>
      <c r="Q333" s="9">
        <f>1184</f>
        <v>1184</v>
      </c>
    </row>
    <row r="334" spans="1:17" ht="45" customHeight="1" x14ac:dyDescent="0.25">
      <c r="A334" s="4" t="s">
        <v>20</v>
      </c>
      <c r="B334" s="5" t="s">
        <v>956</v>
      </c>
      <c r="C334" s="4" t="s">
        <v>22</v>
      </c>
      <c r="D334" s="4" t="s">
        <v>957</v>
      </c>
      <c r="E334" s="4" t="s">
        <v>958</v>
      </c>
      <c r="F334" s="6">
        <f>8</f>
        <v>8</v>
      </c>
      <c r="G334" s="4" t="s">
        <v>25</v>
      </c>
      <c r="H334" s="7">
        <v>236.8</v>
      </c>
      <c r="I334" s="7">
        <v>236.8</v>
      </c>
      <c r="J334" s="8">
        <v>0.25</v>
      </c>
      <c r="K334" s="9">
        <f>296</f>
        <v>296</v>
      </c>
      <c r="L334" s="9">
        <f>2368</f>
        <v>2368</v>
      </c>
      <c r="M334" s="4"/>
      <c r="N334" s="10">
        <v>1</v>
      </c>
      <c r="O334" s="4" t="s">
        <v>26</v>
      </c>
      <c r="P334" s="11">
        <v>8</v>
      </c>
      <c r="Q334" s="9">
        <f>2368</f>
        <v>2368</v>
      </c>
    </row>
    <row r="335" spans="1:17" ht="45" customHeight="1" x14ac:dyDescent="0.25">
      <c r="A335" s="4" t="s">
        <v>20</v>
      </c>
      <c r="B335" s="5" t="s">
        <v>959</v>
      </c>
      <c r="C335" s="4" t="s">
        <v>30</v>
      </c>
      <c r="D335" s="4" t="s">
        <v>960</v>
      </c>
      <c r="E335" s="4" t="s">
        <v>961</v>
      </c>
      <c r="F335" s="6">
        <f>1</f>
        <v>1</v>
      </c>
      <c r="G335" s="4" t="s">
        <v>25</v>
      </c>
      <c r="H335" s="7">
        <v>259.27999999999997</v>
      </c>
      <c r="I335" s="7">
        <v>259.27999999999997</v>
      </c>
      <c r="J335" s="8">
        <v>0.25</v>
      </c>
      <c r="K335" s="9">
        <f>324.1</f>
        <v>324.10000000000002</v>
      </c>
      <c r="L335" s="9">
        <f>324.1</f>
        <v>324.10000000000002</v>
      </c>
      <c r="M335" s="4"/>
      <c r="N335" s="10">
        <v>1</v>
      </c>
      <c r="O335" s="4" t="s">
        <v>26</v>
      </c>
      <c r="P335" s="11">
        <v>1</v>
      </c>
      <c r="Q335" s="9">
        <f>324.1</f>
        <v>324.10000000000002</v>
      </c>
    </row>
    <row r="336" spans="1:17" ht="45" customHeight="1" x14ac:dyDescent="0.25">
      <c r="A336" s="4" t="s">
        <v>20</v>
      </c>
      <c r="B336" s="5" t="s">
        <v>962</v>
      </c>
      <c r="C336" s="4" t="s">
        <v>30</v>
      </c>
      <c r="D336" s="4" t="s">
        <v>963</v>
      </c>
      <c r="E336" s="4" t="s">
        <v>964</v>
      </c>
      <c r="F336" s="6">
        <f>25</f>
        <v>25</v>
      </c>
      <c r="G336" s="4" t="s">
        <v>25</v>
      </c>
      <c r="H336" s="7">
        <v>100.37</v>
      </c>
      <c r="I336" s="7">
        <v>100.37</v>
      </c>
      <c r="J336" s="8">
        <v>0.25</v>
      </c>
      <c r="K336" s="9">
        <f>125.46</f>
        <v>125.46</v>
      </c>
      <c r="L336" s="9">
        <f>3136.5</f>
        <v>3136.5</v>
      </c>
      <c r="M336" s="4"/>
      <c r="N336" s="10">
        <v>1</v>
      </c>
      <c r="O336" s="4" t="s">
        <v>26</v>
      </c>
      <c r="P336" s="11">
        <v>25</v>
      </c>
      <c r="Q336" s="9">
        <f>3136.5</f>
        <v>3136.5</v>
      </c>
    </row>
    <row r="337" spans="1:17" ht="45" customHeight="1" x14ac:dyDescent="0.25">
      <c r="A337" s="4" t="s">
        <v>20</v>
      </c>
      <c r="B337" s="5" t="s">
        <v>965</v>
      </c>
      <c r="C337" s="4" t="s">
        <v>30</v>
      </c>
      <c r="D337" s="4" t="s">
        <v>966</v>
      </c>
      <c r="E337" s="4" t="s">
        <v>967</v>
      </c>
      <c r="F337" s="6">
        <f>13</f>
        <v>13</v>
      </c>
      <c r="G337" s="4" t="s">
        <v>25</v>
      </c>
      <c r="H337" s="7">
        <v>108.39</v>
      </c>
      <c r="I337" s="7">
        <v>108.39</v>
      </c>
      <c r="J337" s="8">
        <v>0.25</v>
      </c>
      <c r="K337" s="9">
        <f>135.49</f>
        <v>135.49</v>
      </c>
      <c r="L337" s="9">
        <f>1761.37</f>
        <v>1761.37</v>
      </c>
      <c r="M337" s="4"/>
      <c r="N337" s="10">
        <v>1</v>
      </c>
      <c r="O337" s="4" t="s">
        <v>26</v>
      </c>
      <c r="P337" s="11">
        <v>13</v>
      </c>
      <c r="Q337" s="9">
        <f>1761.37</f>
        <v>1761.37</v>
      </c>
    </row>
    <row r="338" spans="1:17" ht="45" customHeight="1" x14ac:dyDescent="0.25">
      <c r="A338" s="4" t="s">
        <v>20</v>
      </c>
      <c r="B338" s="5" t="s">
        <v>968</v>
      </c>
      <c r="C338" s="4" t="s">
        <v>30</v>
      </c>
      <c r="D338" s="4" t="s">
        <v>969</v>
      </c>
      <c r="E338" s="4" t="s">
        <v>970</v>
      </c>
      <c r="F338" s="6">
        <f>4</f>
        <v>4</v>
      </c>
      <c r="G338" s="4" t="s">
        <v>25</v>
      </c>
      <c r="H338" s="7">
        <v>13.58</v>
      </c>
      <c r="I338" s="7">
        <v>13.58</v>
      </c>
      <c r="J338" s="8">
        <v>0.25</v>
      </c>
      <c r="K338" s="9">
        <f>16.98</f>
        <v>16.98</v>
      </c>
      <c r="L338" s="9">
        <f>67.92</f>
        <v>67.92</v>
      </c>
      <c r="M338" s="4"/>
      <c r="N338" s="10">
        <v>1</v>
      </c>
      <c r="O338" s="4" t="s">
        <v>26</v>
      </c>
      <c r="P338" s="11">
        <v>4</v>
      </c>
      <c r="Q338" s="9">
        <f>67.92</f>
        <v>67.92</v>
      </c>
    </row>
    <row r="339" spans="1:17" ht="45" customHeight="1" x14ac:dyDescent="0.25">
      <c r="A339" s="4" t="s">
        <v>20</v>
      </c>
      <c r="B339" s="5" t="s">
        <v>971</v>
      </c>
      <c r="C339" s="4" t="s">
        <v>30</v>
      </c>
      <c r="D339" s="4" t="s">
        <v>972</v>
      </c>
      <c r="E339" s="4" t="s">
        <v>973</v>
      </c>
      <c r="F339" s="6">
        <f>34</f>
        <v>34</v>
      </c>
      <c r="G339" s="4" t="s">
        <v>25</v>
      </c>
      <c r="H339" s="7">
        <v>25.02</v>
      </c>
      <c r="I339" s="7">
        <v>25.02</v>
      </c>
      <c r="J339" s="8">
        <v>0.25</v>
      </c>
      <c r="K339" s="9">
        <f>31.28</f>
        <v>31.28</v>
      </c>
      <c r="L339" s="9">
        <f>1063.52</f>
        <v>1063.52</v>
      </c>
      <c r="M339" s="4"/>
      <c r="N339" s="10">
        <v>1</v>
      </c>
      <c r="O339" s="4" t="s">
        <v>26</v>
      </c>
      <c r="P339" s="11">
        <v>34</v>
      </c>
      <c r="Q339" s="9">
        <f>1063.52</f>
        <v>1063.52</v>
      </c>
    </row>
    <row r="340" spans="1:17" ht="45" customHeight="1" x14ac:dyDescent="0.25">
      <c r="A340" s="4" t="s">
        <v>20</v>
      </c>
      <c r="B340" s="5" t="s">
        <v>974</v>
      </c>
      <c r="C340" s="4" t="s">
        <v>22</v>
      </c>
      <c r="D340" s="4" t="s">
        <v>975</v>
      </c>
      <c r="E340" s="4" t="s">
        <v>976</v>
      </c>
      <c r="F340" s="6">
        <f>16</f>
        <v>16</v>
      </c>
      <c r="G340" s="4" t="s">
        <v>25</v>
      </c>
      <c r="H340" s="7">
        <v>251.91</v>
      </c>
      <c r="I340" s="7">
        <v>251.91</v>
      </c>
      <c r="J340" s="8">
        <v>0.25</v>
      </c>
      <c r="K340" s="9">
        <f>314.89</f>
        <v>314.89</v>
      </c>
      <c r="L340" s="9">
        <f>5038.24</f>
        <v>5038.24</v>
      </c>
      <c r="M340" s="4"/>
      <c r="N340" s="10">
        <v>1</v>
      </c>
      <c r="O340" s="4" t="s">
        <v>26</v>
      </c>
      <c r="P340" s="11">
        <v>16</v>
      </c>
      <c r="Q340" s="9">
        <f>5038.24</f>
        <v>5038.24</v>
      </c>
    </row>
    <row r="341" spans="1:17" ht="45" customHeight="1" x14ac:dyDescent="0.25">
      <c r="A341" s="4" t="s">
        <v>20</v>
      </c>
      <c r="B341" s="5" t="s">
        <v>977</v>
      </c>
      <c r="C341" s="4" t="s">
        <v>30</v>
      </c>
      <c r="D341" s="4" t="s">
        <v>978</v>
      </c>
      <c r="E341" s="4" t="s">
        <v>979</v>
      </c>
      <c r="F341" s="6">
        <f>8</f>
        <v>8</v>
      </c>
      <c r="G341" s="4" t="s">
        <v>25</v>
      </c>
      <c r="H341" s="7">
        <v>152.83000000000001</v>
      </c>
      <c r="I341" s="7">
        <v>152.83000000000001</v>
      </c>
      <c r="J341" s="8">
        <v>0.25</v>
      </c>
      <c r="K341" s="9">
        <f>191.04</f>
        <v>191.04</v>
      </c>
      <c r="L341" s="9">
        <f>1528.32</f>
        <v>1528.32</v>
      </c>
      <c r="M341" s="4"/>
      <c r="N341" s="10">
        <v>1</v>
      </c>
      <c r="O341" s="4" t="s">
        <v>26</v>
      </c>
      <c r="P341" s="11">
        <v>8</v>
      </c>
      <c r="Q341" s="9">
        <f>1528.32</f>
        <v>1528.32</v>
      </c>
    </row>
    <row r="342" spans="1:17" ht="45" customHeight="1" x14ac:dyDescent="0.25">
      <c r="A342" s="4" t="s">
        <v>20</v>
      </c>
      <c r="B342" s="5" t="s">
        <v>980</v>
      </c>
      <c r="C342" s="4" t="s">
        <v>22</v>
      </c>
      <c r="D342" s="4" t="s">
        <v>981</v>
      </c>
      <c r="E342" s="4" t="s">
        <v>982</v>
      </c>
      <c r="F342" s="6">
        <f>4</f>
        <v>4</v>
      </c>
      <c r="G342" s="4" t="s">
        <v>25</v>
      </c>
      <c r="H342" s="7">
        <v>224.29</v>
      </c>
      <c r="I342" s="7">
        <v>224.27</v>
      </c>
      <c r="J342" s="8">
        <v>0.25</v>
      </c>
      <c r="K342" s="9">
        <f>280.34</f>
        <v>280.33999999999997</v>
      </c>
      <c r="L342" s="9">
        <f>1121.36</f>
        <v>1121.3599999999999</v>
      </c>
      <c r="M342" s="4"/>
      <c r="N342" s="10">
        <v>1</v>
      </c>
      <c r="O342" s="4" t="s">
        <v>26</v>
      </c>
      <c r="P342" s="11">
        <v>4</v>
      </c>
      <c r="Q342" s="9">
        <f>1121.36</f>
        <v>1121.3599999999999</v>
      </c>
    </row>
    <row r="343" spans="1:17" ht="45" customHeight="1" x14ac:dyDescent="0.25">
      <c r="A343" s="4" t="s">
        <v>20</v>
      </c>
      <c r="B343" s="5" t="s">
        <v>983</v>
      </c>
      <c r="C343" s="4" t="s">
        <v>30</v>
      </c>
      <c r="D343" s="4" t="s">
        <v>984</v>
      </c>
      <c r="E343" s="4" t="s">
        <v>985</v>
      </c>
      <c r="F343" s="6">
        <f>16</f>
        <v>16</v>
      </c>
      <c r="G343" s="4" t="s">
        <v>25</v>
      </c>
      <c r="H343" s="7">
        <v>94.09</v>
      </c>
      <c r="I343" s="7">
        <v>94.09</v>
      </c>
      <c r="J343" s="8">
        <v>0.25</v>
      </c>
      <c r="K343" s="9">
        <f>117.61</f>
        <v>117.61</v>
      </c>
      <c r="L343" s="9">
        <f>1881.76</f>
        <v>1881.76</v>
      </c>
      <c r="M343" s="4"/>
      <c r="N343" s="10">
        <v>1</v>
      </c>
      <c r="O343" s="4" t="s">
        <v>26</v>
      </c>
      <c r="P343" s="11">
        <v>16</v>
      </c>
      <c r="Q343" s="9">
        <f>1881.76</f>
        <v>1881.76</v>
      </c>
    </row>
    <row r="344" spans="1:17" ht="45" customHeight="1" x14ac:dyDescent="0.25">
      <c r="A344" s="4" t="s">
        <v>20</v>
      </c>
      <c r="B344" s="5" t="s">
        <v>986</v>
      </c>
      <c r="C344" s="4" t="s">
        <v>22</v>
      </c>
      <c r="D344" s="4" t="s">
        <v>987</v>
      </c>
      <c r="E344" s="4" t="s">
        <v>988</v>
      </c>
      <c r="F344" s="6">
        <f>3</f>
        <v>3</v>
      </c>
      <c r="G344" s="4" t="s">
        <v>25</v>
      </c>
      <c r="H344" s="7">
        <v>599.89</v>
      </c>
      <c r="I344" s="7">
        <v>599.87</v>
      </c>
      <c r="J344" s="8">
        <v>0.25</v>
      </c>
      <c r="K344" s="9">
        <f>749.84</f>
        <v>749.84</v>
      </c>
      <c r="L344" s="9">
        <f>2249.52</f>
        <v>2249.52</v>
      </c>
      <c r="M344" s="4"/>
      <c r="N344" s="10">
        <v>1</v>
      </c>
      <c r="O344" s="4" t="s">
        <v>26</v>
      </c>
      <c r="P344" s="11">
        <v>3</v>
      </c>
      <c r="Q344" s="9">
        <f>2249.52</f>
        <v>2249.52</v>
      </c>
    </row>
    <row r="345" spans="1:17" ht="45" customHeight="1" x14ac:dyDescent="0.25">
      <c r="A345" s="4" t="s">
        <v>20</v>
      </c>
      <c r="B345" s="5" t="s">
        <v>989</v>
      </c>
      <c r="C345" s="4" t="s">
        <v>22</v>
      </c>
      <c r="D345" s="4" t="s">
        <v>990</v>
      </c>
      <c r="E345" s="4" t="s">
        <v>991</v>
      </c>
      <c r="F345" s="6">
        <f>2</f>
        <v>2</v>
      </c>
      <c r="G345" s="4" t="s">
        <v>25</v>
      </c>
      <c r="H345" s="7">
        <v>135.58000000000001</v>
      </c>
      <c r="I345" s="7">
        <v>135.56</v>
      </c>
      <c r="J345" s="8">
        <v>0.25</v>
      </c>
      <c r="K345" s="9">
        <f>169.45</f>
        <v>169.45</v>
      </c>
      <c r="L345" s="9">
        <f>338.9</f>
        <v>338.9</v>
      </c>
      <c r="M345" s="4"/>
      <c r="N345" s="10">
        <v>1</v>
      </c>
      <c r="O345" s="4" t="s">
        <v>26</v>
      </c>
      <c r="P345" s="11">
        <v>2</v>
      </c>
      <c r="Q345" s="9">
        <f>338.9</f>
        <v>338.9</v>
      </c>
    </row>
    <row r="346" spans="1:17" ht="45" customHeight="1" x14ac:dyDescent="0.25">
      <c r="A346" s="4" t="s">
        <v>20</v>
      </c>
      <c r="B346" s="5" t="s">
        <v>992</v>
      </c>
      <c r="C346" s="4" t="s">
        <v>30</v>
      </c>
      <c r="D346" s="4" t="s">
        <v>993</v>
      </c>
      <c r="E346" s="4" t="s">
        <v>994</v>
      </c>
      <c r="F346" s="6">
        <f>29</f>
        <v>29</v>
      </c>
      <c r="G346" s="4" t="s">
        <v>25</v>
      </c>
      <c r="H346" s="7">
        <v>80.510000000000005</v>
      </c>
      <c r="I346" s="7">
        <v>80.510000000000005</v>
      </c>
      <c r="J346" s="8">
        <v>0.25</v>
      </c>
      <c r="K346" s="9">
        <f>100.64</f>
        <v>100.64</v>
      </c>
      <c r="L346" s="9">
        <f>2918.56</f>
        <v>2918.56</v>
      </c>
      <c r="M346" s="4"/>
      <c r="N346" s="10">
        <v>1</v>
      </c>
      <c r="O346" s="4" t="s">
        <v>26</v>
      </c>
      <c r="P346" s="11">
        <v>29</v>
      </c>
      <c r="Q346" s="9">
        <f>2918.56</f>
        <v>2918.56</v>
      </c>
    </row>
    <row r="347" spans="1:17" ht="45" customHeight="1" x14ac:dyDescent="0.25">
      <c r="A347" s="4" t="s">
        <v>20</v>
      </c>
      <c r="B347" s="5" t="s">
        <v>995</v>
      </c>
      <c r="C347" s="4" t="s">
        <v>30</v>
      </c>
      <c r="D347" s="4" t="s">
        <v>996</v>
      </c>
      <c r="E347" s="4" t="s">
        <v>997</v>
      </c>
      <c r="F347" s="6">
        <f>8</f>
        <v>8</v>
      </c>
      <c r="G347" s="4" t="s">
        <v>25</v>
      </c>
      <c r="H347" s="7">
        <v>106.61</v>
      </c>
      <c r="I347" s="7">
        <v>106.61</v>
      </c>
      <c r="J347" s="8">
        <v>0.25</v>
      </c>
      <c r="K347" s="9">
        <f>133.26</f>
        <v>133.26</v>
      </c>
      <c r="L347" s="9">
        <f>1066.08</f>
        <v>1066.08</v>
      </c>
      <c r="M347" s="4"/>
      <c r="N347" s="10">
        <v>1</v>
      </c>
      <c r="O347" s="4" t="s">
        <v>26</v>
      </c>
      <c r="P347" s="11">
        <v>8</v>
      </c>
      <c r="Q347" s="9">
        <f>1066.08</f>
        <v>1066.08</v>
      </c>
    </row>
    <row r="348" spans="1:17" ht="45" customHeight="1" x14ac:dyDescent="0.25">
      <c r="A348" s="4" t="s">
        <v>20</v>
      </c>
      <c r="B348" s="5" t="s">
        <v>998</v>
      </c>
      <c r="C348" s="4" t="s">
        <v>22</v>
      </c>
      <c r="D348" s="4" t="s">
        <v>999</v>
      </c>
      <c r="E348" s="4" t="s">
        <v>1000</v>
      </c>
      <c r="F348" s="6">
        <f>11</f>
        <v>11</v>
      </c>
      <c r="G348" s="4" t="s">
        <v>25</v>
      </c>
      <c r="H348" s="7">
        <v>128.19</v>
      </c>
      <c r="I348" s="7">
        <v>128.18</v>
      </c>
      <c r="J348" s="8">
        <v>0.25</v>
      </c>
      <c r="K348" s="9">
        <f>160.23</f>
        <v>160.22999999999999</v>
      </c>
      <c r="L348" s="9">
        <f>1762.53</f>
        <v>1762.53</v>
      </c>
      <c r="M348" s="4"/>
      <c r="N348" s="10">
        <v>1</v>
      </c>
      <c r="O348" s="4" t="s">
        <v>26</v>
      </c>
      <c r="P348" s="11">
        <v>11</v>
      </c>
      <c r="Q348" s="9">
        <f>1762.53</f>
        <v>1762.53</v>
      </c>
    </row>
    <row r="349" spans="1:17" ht="45" customHeight="1" x14ac:dyDescent="0.25">
      <c r="A349" s="4" t="s">
        <v>20</v>
      </c>
      <c r="B349" s="5" t="s">
        <v>1001</v>
      </c>
      <c r="C349" s="4" t="s">
        <v>22</v>
      </c>
      <c r="D349" s="4" t="s">
        <v>1002</v>
      </c>
      <c r="E349" s="4" t="s">
        <v>1003</v>
      </c>
      <c r="F349" s="6">
        <f>6</f>
        <v>6</v>
      </c>
      <c r="G349" s="4" t="s">
        <v>25</v>
      </c>
      <c r="H349" s="7">
        <v>314.44</v>
      </c>
      <c r="I349" s="7">
        <v>314.42</v>
      </c>
      <c r="J349" s="8">
        <v>0.25</v>
      </c>
      <c r="K349" s="9">
        <f>393.03</f>
        <v>393.03</v>
      </c>
      <c r="L349" s="9">
        <f>2358.18</f>
        <v>2358.1799999999998</v>
      </c>
      <c r="M349" s="4"/>
      <c r="N349" s="10">
        <v>1</v>
      </c>
      <c r="O349" s="4" t="s">
        <v>26</v>
      </c>
      <c r="P349" s="11">
        <v>6</v>
      </c>
      <c r="Q349" s="9">
        <f>2358.18</f>
        <v>2358.1799999999998</v>
      </c>
    </row>
    <row r="350" spans="1:17" ht="45" customHeight="1" x14ac:dyDescent="0.25">
      <c r="A350" s="4" t="s">
        <v>20</v>
      </c>
      <c r="B350" s="5" t="s">
        <v>1004</v>
      </c>
      <c r="C350" s="4" t="s">
        <v>30</v>
      </c>
      <c r="D350" s="4" t="s">
        <v>1005</v>
      </c>
      <c r="E350" s="4" t="s">
        <v>1006</v>
      </c>
      <c r="F350" s="6">
        <f>5</f>
        <v>5</v>
      </c>
      <c r="G350" s="4" t="s">
        <v>25</v>
      </c>
      <c r="H350" s="7">
        <v>435.67</v>
      </c>
      <c r="I350" s="7">
        <v>435.67</v>
      </c>
      <c r="J350" s="8">
        <v>0.25</v>
      </c>
      <c r="K350" s="9">
        <f>544.59</f>
        <v>544.59</v>
      </c>
      <c r="L350" s="9">
        <f>2722.95</f>
        <v>2722.95</v>
      </c>
      <c r="M350" s="4"/>
      <c r="N350" s="10">
        <v>1</v>
      </c>
      <c r="O350" s="4" t="s">
        <v>26</v>
      </c>
      <c r="P350" s="11">
        <v>5</v>
      </c>
      <c r="Q350" s="9">
        <f>2722.95</f>
        <v>2722.95</v>
      </c>
    </row>
    <row r="351" spans="1:17" ht="45" customHeight="1" x14ac:dyDescent="0.25">
      <c r="A351" s="4" t="s">
        <v>20</v>
      </c>
      <c r="B351" s="5" t="s">
        <v>1007</v>
      </c>
      <c r="C351" s="4" t="s">
        <v>30</v>
      </c>
      <c r="D351" s="4" t="s">
        <v>1008</v>
      </c>
      <c r="E351" s="4" t="s">
        <v>1009</v>
      </c>
      <c r="F351" s="6">
        <f>7</f>
        <v>7</v>
      </c>
      <c r="G351" s="4" t="s">
        <v>25</v>
      </c>
      <c r="H351" s="7">
        <v>455.77</v>
      </c>
      <c r="I351" s="7">
        <v>455.77</v>
      </c>
      <c r="J351" s="8">
        <v>0.25</v>
      </c>
      <c r="K351" s="9">
        <f>569.71</f>
        <v>569.71</v>
      </c>
      <c r="L351" s="9">
        <f>3987.97</f>
        <v>3987.97</v>
      </c>
      <c r="M351" s="4"/>
      <c r="N351" s="10">
        <v>1</v>
      </c>
      <c r="O351" s="4" t="s">
        <v>26</v>
      </c>
      <c r="P351" s="11">
        <v>7</v>
      </c>
      <c r="Q351" s="9">
        <f>3987.97</f>
        <v>3987.97</v>
      </c>
    </row>
    <row r="352" spans="1:17" ht="45" customHeight="1" x14ac:dyDescent="0.25">
      <c r="A352" s="4" t="s">
        <v>20</v>
      </c>
      <c r="B352" s="5" t="s">
        <v>1010</v>
      </c>
      <c r="C352" s="4" t="s">
        <v>30</v>
      </c>
      <c r="D352" s="4" t="s">
        <v>1011</v>
      </c>
      <c r="E352" s="4" t="s">
        <v>1012</v>
      </c>
      <c r="F352" s="6">
        <f>1</f>
        <v>1</v>
      </c>
      <c r="G352" s="4" t="s">
        <v>25</v>
      </c>
      <c r="H352" s="7">
        <v>1577.12</v>
      </c>
      <c r="I352" s="7">
        <v>1577.12</v>
      </c>
      <c r="J352" s="8">
        <v>0.25</v>
      </c>
      <c r="K352" s="9">
        <f>1971.4</f>
        <v>1971.4</v>
      </c>
      <c r="L352" s="9">
        <f>1971.4</f>
        <v>1971.4</v>
      </c>
      <c r="M352" s="4"/>
      <c r="N352" s="10">
        <v>1</v>
      </c>
      <c r="O352" s="4" t="s">
        <v>26</v>
      </c>
      <c r="P352" s="11">
        <v>1</v>
      </c>
      <c r="Q352" s="9">
        <f>1971.4</f>
        <v>1971.4</v>
      </c>
    </row>
    <row r="353" spans="1:17" ht="45" customHeight="1" x14ac:dyDescent="0.25">
      <c r="A353" s="4" t="s">
        <v>20</v>
      </c>
      <c r="B353" s="5" t="s">
        <v>1013</v>
      </c>
      <c r="C353" s="4" t="s">
        <v>22</v>
      </c>
      <c r="D353" s="4" t="s">
        <v>1014</v>
      </c>
      <c r="E353" s="4" t="s">
        <v>1015</v>
      </c>
      <c r="F353" s="6">
        <f>14</f>
        <v>14</v>
      </c>
      <c r="G353" s="4" t="s">
        <v>25</v>
      </c>
      <c r="H353" s="7">
        <v>60.6</v>
      </c>
      <c r="I353" s="7">
        <v>60.59</v>
      </c>
      <c r="J353" s="8">
        <v>0.25</v>
      </c>
      <c r="K353" s="9">
        <f>75.74</f>
        <v>75.739999999999995</v>
      </c>
      <c r="L353" s="9">
        <f>1060.36</f>
        <v>1060.3599999999999</v>
      </c>
      <c r="M353" s="4"/>
      <c r="N353" s="10">
        <v>1</v>
      </c>
      <c r="O353" s="4" t="s">
        <v>26</v>
      </c>
      <c r="P353" s="11">
        <v>14</v>
      </c>
      <c r="Q353" s="9">
        <f>1060.36</f>
        <v>1060.3599999999999</v>
      </c>
    </row>
    <row r="354" spans="1:17" ht="45" customHeight="1" x14ac:dyDescent="0.25">
      <c r="A354" s="4" t="s">
        <v>20</v>
      </c>
      <c r="B354" s="5" t="s">
        <v>1016</v>
      </c>
      <c r="C354" s="4" t="s">
        <v>22</v>
      </c>
      <c r="D354" s="4" t="s">
        <v>1017</v>
      </c>
      <c r="E354" s="4" t="s">
        <v>1018</v>
      </c>
      <c r="F354" s="6">
        <f>14</f>
        <v>14</v>
      </c>
      <c r="G354" s="4" t="s">
        <v>25</v>
      </c>
      <c r="H354" s="7">
        <v>60.6</v>
      </c>
      <c r="I354" s="7">
        <v>60.59</v>
      </c>
      <c r="J354" s="8">
        <v>0.25</v>
      </c>
      <c r="K354" s="9">
        <f>75.74</f>
        <v>75.739999999999995</v>
      </c>
      <c r="L354" s="9">
        <f>1060.36</f>
        <v>1060.3599999999999</v>
      </c>
      <c r="M354" s="4"/>
      <c r="N354" s="10">
        <v>1</v>
      </c>
      <c r="O354" s="4" t="s">
        <v>26</v>
      </c>
      <c r="P354" s="11">
        <v>14</v>
      </c>
      <c r="Q354" s="9">
        <f>1060.36</f>
        <v>1060.3599999999999</v>
      </c>
    </row>
    <row r="355" spans="1:17" ht="45" customHeight="1" x14ac:dyDescent="0.25">
      <c r="A355" s="4" t="s">
        <v>20</v>
      </c>
      <c r="B355" s="5" t="s">
        <v>1019</v>
      </c>
      <c r="C355" s="4" t="s">
        <v>30</v>
      </c>
      <c r="D355" s="4" t="s">
        <v>1020</v>
      </c>
      <c r="E355" s="4" t="s">
        <v>1021</v>
      </c>
      <c r="F355" s="6">
        <f>14</f>
        <v>14</v>
      </c>
      <c r="G355" s="4" t="s">
        <v>25</v>
      </c>
      <c r="H355" s="7">
        <v>58.66</v>
      </c>
      <c r="I355" s="7">
        <v>58.66</v>
      </c>
      <c r="J355" s="8">
        <v>0.25</v>
      </c>
      <c r="K355" s="9">
        <f>73.33</f>
        <v>73.33</v>
      </c>
      <c r="L355" s="9">
        <f>1026.62</f>
        <v>1026.6199999999999</v>
      </c>
      <c r="M355" s="4"/>
      <c r="N355" s="10">
        <v>1</v>
      </c>
      <c r="O355" s="4" t="s">
        <v>26</v>
      </c>
      <c r="P355" s="11">
        <v>14</v>
      </c>
      <c r="Q355" s="9">
        <f>1026.62</f>
        <v>1026.6199999999999</v>
      </c>
    </row>
    <row r="356" spans="1:17" ht="45" customHeight="1" x14ac:dyDescent="0.25">
      <c r="A356" s="4" t="s">
        <v>20</v>
      </c>
      <c r="B356" s="5" t="s">
        <v>1022</v>
      </c>
      <c r="C356" s="4" t="s">
        <v>22</v>
      </c>
      <c r="D356" s="4" t="s">
        <v>1023</v>
      </c>
      <c r="E356" s="4" t="s">
        <v>1024</v>
      </c>
      <c r="F356" s="6">
        <f>8.85</f>
        <v>8.85</v>
      </c>
      <c r="G356" s="4" t="s">
        <v>33</v>
      </c>
      <c r="H356" s="7">
        <v>357.5</v>
      </c>
      <c r="I356" s="7">
        <v>357.49</v>
      </c>
      <c r="J356" s="8">
        <v>0.25</v>
      </c>
      <c r="K356" s="9">
        <f>446.86</f>
        <v>446.86</v>
      </c>
      <c r="L356" s="9">
        <f>3954.71</f>
        <v>3954.71</v>
      </c>
      <c r="M356" s="4"/>
      <c r="N356" s="10">
        <v>1</v>
      </c>
      <c r="O356" s="4" t="s">
        <v>26</v>
      </c>
      <c r="P356" s="11">
        <v>8.85</v>
      </c>
      <c r="Q356" s="9">
        <f>3954.71</f>
        <v>3954.71</v>
      </c>
    </row>
    <row r="357" spans="1:17" ht="45" customHeight="1" x14ac:dyDescent="0.25">
      <c r="A357" s="4" t="s">
        <v>20</v>
      </c>
      <c r="B357" s="5" t="s">
        <v>1025</v>
      </c>
      <c r="C357" s="4" t="s">
        <v>22</v>
      </c>
      <c r="D357" s="4" t="s">
        <v>1026</v>
      </c>
      <c r="E357" s="4" t="s">
        <v>1027</v>
      </c>
      <c r="F357" s="6">
        <f>13</f>
        <v>13</v>
      </c>
      <c r="G357" s="4" t="s">
        <v>25</v>
      </c>
      <c r="H357" s="7">
        <v>66.39</v>
      </c>
      <c r="I357" s="7">
        <v>66.38</v>
      </c>
      <c r="J357" s="8">
        <v>0.25</v>
      </c>
      <c r="K357" s="9">
        <f>82.98</f>
        <v>82.98</v>
      </c>
      <c r="L357" s="9">
        <f>1078.74</f>
        <v>1078.74</v>
      </c>
      <c r="M357" s="4"/>
      <c r="N357" s="10">
        <v>1</v>
      </c>
      <c r="O357" s="4" t="s">
        <v>26</v>
      </c>
      <c r="P357" s="11">
        <v>13</v>
      </c>
      <c r="Q357" s="9">
        <f>1078.74</f>
        <v>1078.74</v>
      </c>
    </row>
    <row r="358" spans="1:17" ht="45" customHeight="1" x14ac:dyDescent="0.25">
      <c r="A358" s="4" t="s">
        <v>17</v>
      </c>
      <c r="B358" s="5" t="s">
        <v>1028</v>
      </c>
      <c r="C358" s="4"/>
      <c r="D358" s="4"/>
      <c r="E358" s="4" t="s">
        <v>1029</v>
      </c>
      <c r="F358" s="6"/>
      <c r="G358" s="4"/>
      <c r="H358" s="7"/>
      <c r="I358" s="7"/>
      <c r="J358" s="8"/>
      <c r="K358" s="9"/>
      <c r="L358" s="9">
        <f>73332.26</f>
        <v>73332.259999999995</v>
      </c>
      <c r="M358" s="4"/>
      <c r="N358" s="10"/>
      <c r="O358" s="4"/>
      <c r="P358" s="11"/>
      <c r="Q358" s="9"/>
    </row>
    <row r="359" spans="1:17" ht="45" customHeight="1" x14ac:dyDescent="0.25">
      <c r="A359" s="4" t="s">
        <v>20</v>
      </c>
      <c r="B359" s="5" t="s">
        <v>1030</v>
      </c>
      <c r="C359" s="4" t="s">
        <v>30</v>
      </c>
      <c r="D359" s="4" t="s">
        <v>1031</v>
      </c>
      <c r="E359" s="4" t="s">
        <v>1032</v>
      </c>
      <c r="F359" s="6">
        <f>5</f>
        <v>5</v>
      </c>
      <c r="G359" s="4" t="s">
        <v>25</v>
      </c>
      <c r="H359" s="7">
        <v>230.53</v>
      </c>
      <c r="I359" s="7">
        <v>230.53</v>
      </c>
      <c r="J359" s="8">
        <v>0.25</v>
      </c>
      <c r="K359" s="9">
        <f>288.16</f>
        <v>288.16000000000003</v>
      </c>
      <c r="L359" s="9">
        <f>1440.8</f>
        <v>1440.8</v>
      </c>
      <c r="M359" s="4"/>
      <c r="N359" s="10">
        <v>1</v>
      </c>
      <c r="O359" s="4" t="s">
        <v>26</v>
      </c>
      <c r="P359" s="11">
        <v>5</v>
      </c>
      <c r="Q359" s="9">
        <f>1440.8</f>
        <v>1440.8</v>
      </c>
    </row>
    <row r="360" spans="1:17" ht="45" customHeight="1" x14ac:dyDescent="0.25">
      <c r="A360" s="4" t="s">
        <v>20</v>
      </c>
      <c r="B360" s="5" t="s">
        <v>1033</v>
      </c>
      <c r="C360" s="4" t="s">
        <v>30</v>
      </c>
      <c r="D360" s="4" t="s">
        <v>1034</v>
      </c>
      <c r="E360" s="4" t="s">
        <v>1035</v>
      </c>
      <c r="F360" s="6">
        <f>1</f>
        <v>1</v>
      </c>
      <c r="G360" s="4" t="s">
        <v>25</v>
      </c>
      <c r="H360" s="7">
        <v>267.91000000000003</v>
      </c>
      <c r="I360" s="7">
        <v>267.91000000000003</v>
      </c>
      <c r="J360" s="8">
        <v>0.25</v>
      </c>
      <c r="K360" s="9">
        <f>334.89</f>
        <v>334.89</v>
      </c>
      <c r="L360" s="9">
        <f>334.89</f>
        <v>334.89</v>
      </c>
      <c r="M360" s="4"/>
      <c r="N360" s="10">
        <v>1</v>
      </c>
      <c r="O360" s="4" t="s">
        <v>26</v>
      </c>
      <c r="P360" s="11">
        <v>1</v>
      </c>
      <c r="Q360" s="9">
        <f>334.89</f>
        <v>334.89</v>
      </c>
    </row>
    <row r="361" spans="1:17" ht="45" customHeight="1" x14ac:dyDescent="0.25">
      <c r="A361" s="4" t="s">
        <v>20</v>
      </c>
      <c r="B361" s="5" t="s">
        <v>1036</v>
      </c>
      <c r="C361" s="4" t="s">
        <v>30</v>
      </c>
      <c r="D361" s="4" t="s">
        <v>1037</v>
      </c>
      <c r="E361" s="4" t="s">
        <v>1038</v>
      </c>
      <c r="F361" s="6">
        <f>2</f>
        <v>2</v>
      </c>
      <c r="G361" s="4" t="s">
        <v>25</v>
      </c>
      <c r="H361" s="7">
        <v>1372.81</v>
      </c>
      <c r="I361" s="7">
        <v>1372.81</v>
      </c>
      <c r="J361" s="8">
        <v>0.25</v>
      </c>
      <c r="K361" s="9">
        <f>1716.01</f>
        <v>1716.01</v>
      </c>
      <c r="L361" s="9">
        <f>3432.02</f>
        <v>3432.02</v>
      </c>
      <c r="M361" s="4"/>
      <c r="N361" s="10">
        <v>1</v>
      </c>
      <c r="O361" s="4" t="s">
        <v>26</v>
      </c>
      <c r="P361" s="11">
        <v>2</v>
      </c>
      <c r="Q361" s="9">
        <f>3432.02</f>
        <v>3432.02</v>
      </c>
    </row>
    <row r="362" spans="1:17" ht="45" customHeight="1" x14ac:dyDescent="0.25">
      <c r="A362" s="4" t="s">
        <v>20</v>
      </c>
      <c r="B362" s="5" t="s">
        <v>1039</v>
      </c>
      <c r="C362" s="4" t="s">
        <v>30</v>
      </c>
      <c r="D362" s="4" t="s">
        <v>1040</v>
      </c>
      <c r="E362" s="4" t="s">
        <v>1041</v>
      </c>
      <c r="F362" s="6">
        <f>1</f>
        <v>1</v>
      </c>
      <c r="G362" s="4" t="s">
        <v>25</v>
      </c>
      <c r="H362" s="7">
        <v>965.92</v>
      </c>
      <c r="I362" s="7">
        <v>965.92</v>
      </c>
      <c r="J362" s="8">
        <v>0.25</v>
      </c>
      <c r="K362" s="9">
        <f>1207.4</f>
        <v>1207.4000000000001</v>
      </c>
      <c r="L362" s="9">
        <f>1207.4</f>
        <v>1207.4000000000001</v>
      </c>
      <c r="M362" s="4"/>
      <c r="N362" s="10">
        <v>1</v>
      </c>
      <c r="O362" s="4" t="s">
        <v>26</v>
      </c>
      <c r="P362" s="11">
        <v>1</v>
      </c>
      <c r="Q362" s="9">
        <f>1207.4</f>
        <v>1207.4000000000001</v>
      </c>
    </row>
    <row r="363" spans="1:17" ht="45" customHeight="1" x14ac:dyDescent="0.25">
      <c r="A363" s="4" t="s">
        <v>20</v>
      </c>
      <c r="B363" s="5" t="s">
        <v>1042</v>
      </c>
      <c r="C363" s="4" t="s">
        <v>30</v>
      </c>
      <c r="D363" s="4" t="s">
        <v>741</v>
      </c>
      <c r="E363" s="4" t="s">
        <v>742</v>
      </c>
      <c r="F363" s="6">
        <f>2</f>
        <v>2</v>
      </c>
      <c r="G363" s="4" t="s">
        <v>25</v>
      </c>
      <c r="H363" s="7">
        <v>217.32</v>
      </c>
      <c r="I363" s="7">
        <v>217.32</v>
      </c>
      <c r="J363" s="8">
        <v>0.25</v>
      </c>
      <c r="K363" s="9">
        <f>271.65</f>
        <v>271.64999999999998</v>
      </c>
      <c r="L363" s="9">
        <f>543.3</f>
        <v>543.29999999999995</v>
      </c>
      <c r="M363" s="4"/>
      <c r="N363" s="10">
        <v>1</v>
      </c>
      <c r="O363" s="4" t="s">
        <v>26</v>
      </c>
      <c r="P363" s="11">
        <v>2</v>
      </c>
      <c r="Q363" s="9">
        <f>543.3</f>
        <v>543.29999999999995</v>
      </c>
    </row>
    <row r="364" spans="1:17" ht="45" customHeight="1" x14ac:dyDescent="0.25">
      <c r="A364" s="4" t="s">
        <v>20</v>
      </c>
      <c r="B364" s="5" t="s">
        <v>1043</v>
      </c>
      <c r="C364" s="4" t="s">
        <v>30</v>
      </c>
      <c r="D364" s="4" t="s">
        <v>1044</v>
      </c>
      <c r="E364" s="4" t="s">
        <v>1045</v>
      </c>
      <c r="F364" s="6">
        <f>6</f>
        <v>6</v>
      </c>
      <c r="G364" s="4" t="s">
        <v>25</v>
      </c>
      <c r="H364" s="7">
        <v>77.09</v>
      </c>
      <c r="I364" s="7">
        <v>77.09</v>
      </c>
      <c r="J364" s="8">
        <v>0.25</v>
      </c>
      <c r="K364" s="9">
        <f>96.36</f>
        <v>96.36</v>
      </c>
      <c r="L364" s="9">
        <f>578.16</f>
        <v>578.16</v>
      </c>
      <c r="M364" s="4"/>
      <c r="N364" s="10">
        <v>1</v>
      </c>
      <c r="O364" s="4" t="s">
        <v>26</v>
      </c>
      <c r="P364" s="11">
        <v>6</v>
      </c>
      <c r="Q364" s="9">
        <f>578.16</f>
        <v>578.16</v>
      </c>
    </row>
    <row r="365" spans="1:17" ht="45" customHeight="1" x14ac:dyDescent="0.25">
      <c r="A365" s="4" t="s">
        <v>20</v>
      </c>
      <c r="B365" s="5" t="s">
        <v>1046</v>
      </c>
      <c r="C365" s="4" t="s">
        <v>30</v>
      </c>
      <c r="D365" s="4" t="s">
        <v>738</v>
      </c>
      <c r="E365" s="4" t="s">
        <v>739</v>
      </c>
      <c r="F365" s="6">
        <f>4</f>
        <v>4</v>
      </c>
      <c r="G365" s="4" t="s">
        <v>25</v>
      </c>
      <c r="H365" s="7">
        <v>461.48</v>
      </c>
      <c r="I365" s="7">
        <v>461.48</v>
      </c>
      <c r="J365" s="8">
        <v>0.25</v>
      </c>
      <c r="K365" s="9">
        <f>576.85</f>
        <v>576.85</v>
      </c>
      <c r="L365" s="9">
        <f>2307.4</f>
        <v>2307.4</v>
      </c>
      <c r="M365" s="4"/>
      <c r="N365" s="10">
        <v>1</v>
      </c>
      <c r="O365" s="4" t="s">
        <v>26</v>
      </c>
      <c r="P365" s="11">
        <v>4</v>
      </c>
      <c r="Q365" s="9">
        <f>2307.4</f>
        <v>2307.4</v>
      </c>
    </row>
    <row r="366" spans="1:17" ht="45" customHeight="1" x14ac:dyDescent="0.25">
      <c r="A366" s="4" t="s">
        <v>20</v>
      </c>
      <c r="B366" s="5" t="s">
        <v>1047</v>
      </c>
      <c r="C366" s="4" t="s">
        <v>30</v>
      </c>
      <c r="D366" s="4" t="s">
        <v>1048</v>
      </c>
      <c r="E366" s="4" t="s">
        <v>1049</v>
      </c>
      <c r="F366" s="6">
        <f>1</f>
        <v>1</v>
      </c>
      <c r="G366" s="4" t="s">
        <v>25</v>
      </c>
      <c r="H366" s="7">
        <v>312.83999999999997</v>
      </c>
      <c r="I366" s="7">
        <v>312.83999999999997</v>
      </c>
      <c r="J366" s="8">
        <v>0.25</v>
      </c>
      <c r="K366" s="9">
        <f>391.05</f>
        <v>391.05</v>
      </c>
      <c r="L366" s="9">
        <f>391.05</f>
        <v>391.05</v>
      </c>
      <c r="M366" s="4"/>
      <c r="N366" s="10">
        <v>1</v>
      </c>
      <c r="O366" s="4" t="s">
        <v>26</v>
      </c>
      <c r="P366" s="11">
        <v>1</v>
      </c>
      <c r="Q366" s="9">
        <f>391.05</f>
        <v>391.05</v>
      </c>
    </row>
    <row r="367" spans="1:17" ht="45" customHeight="1" x14ac:dyDescent="0.25">
      <c r="A367" s="4" t="s">
        <v>20</v>
      </c>
      <c r="B367" s="5" t="s">
        <v>1050</v>
      </c>
      <c r="C367" s="4" t="s">
        <v>30</v>
      </c>
      <c r="D367" s="4" t="s">
        <v>1051</v>
      </c>
      <c r="E367" s="4" t="s">
        <v>1052</v>
      </c>
      <c r="F367" s="6">
        <f>1</f>
        <v>1</v>
      </c>
      <c r="G367" s="4" t="s">
        <v>25</v>
      </c>
      <c r="H367" s="7">
        <v>100.18</v>
      </c>
      <c r="I367" s="7">
        <v>100.18</v>
      </c>
      <c r="J367" s="8">
        <v>0.25</v>
      </c>
      <c r="K367" s="9">
        <f>125.23</f>
        <v>125.23</v>
      </c>
      <c r="L367" s="9">
        <f>125.23</f>
        <v>125.23</v>
      </c>
      <c r="M367" s="4"/>
      <c r="N367" s="10">
        <v>1</v>
      </c>
      <c r="O367" s="4" t="s">
        <v>26</v>
      </c>
      <c r="P367" s="11">
        <v>1</v>
      </c>
      <c r="Q367" s="9">
        <f>125.23</f>
        <v>125.23</v>
      </c>
    </row>
    <row r="368" spans="1:17" ht="45" customHeight="1" x14ac:dyDescent="0.25">
      <c r="A368" s="4" t="s">
        <v>20</v>
      </c>
      <c r="B368" s="5" t="s">
        <v>1053</v>
      </c>
      <c r="C368" s="4" t="s">
        <v>30</v>
      </c>
      <c r="D368" s="4" t="s">
        <v>1054</v>
      </c>
      <c r="E368" s="4" t="s">
        <v>1055</v>
      </c>
      <c r="F368" s="6">
        <f>2</f>
        <v>2</v>
      </c>
      <c r="G368" s="4" t="s">
        <v>25</v>
      </c>
      <c r="H368" s="7">
        <v>856.66</v>
      </c>
      <c r="I368" s="7">
        <v>856.66</v>
      </c>
      <c r="J368" s="8">
        <v>0.25</v>
      </c>
      <c r="K368" s="9">
        <f>1070.83</f>
        <v>1070.83</v>
      </c>
      <c r="L368" s="9">
        <f>2141.66</f>
        <v>2141.66</v>
      </c>
      <c r="M368" s="4"/>
      <c r="N368" s="10">
        <v>1</v>
      </c>
      <c r="O368" s="4" t="s">
        <v>26</v>
      </c>
      <c r="P368" s="11">
        <v>2</v>
      </c>
      <c r="Q368" s="9">
        <f>2141.66</f>
        <v>2141.66</v>
      </c>
    </row>
    <row r="369" spans="1:17" ht="45" customHeight="1" x14ac:dyDescent="0.25">
      <c r="A369" s="4" t="s">
        <v>20</v>
      </c>
      <c r="B369" s="5" t="s">
        <v>1056</v>
      </c>
      <c r="C369" s="4" t="s">
        <v>22</v>
      </c>
      <c r="D369" s="4" t="s">
        <v>1057</v>
      </c>
      <c r="E369" s="4" t="s">
        <v>1058</v>
      </c>
      <c r="F369" s="6">
        <f>2</f>
        <v>2</v>
      </c>
      <c r="G369" s="4" t="s">
        <v>25</v>
      </c>
      <c r="H369" s="7">
        <v>190.56</v>
      </c>
      <c r="I369" s="7">
        <v>190.55</v>
      </c>
      <c r="J369" s="8">
        <v>0.25</v>
      </c>
      <c r="K369" s="9">
        <f>238.19</f>
        <v>238.19</v>
      </c>
      <c r="L369" s="9">
        <f>476.38</f>
        <v>476.38</v>
      </c>
      <c r="M369" s="4"/>
      <c r="N369" s="10">
        <v>1</v>
      </c>
      <c r="O369" s="4" t="s">
        <v>26</v>
      </c>
      <c r="P369" s="11">
        <v>2</v>
      </c>
      <c r="Q369" s="9">
        <f>476.38</f>
        <v>476.38</v>
      </c>
    </row>
    <row r="370" spans="1:17" ht="45" customHeight="1" x14ac:dyDescent="0.25">
      <c r="A370" s="4" t="s">
        <v>20</v>
      </c>
      <c r="B370" s="5" t="s">
        <v>1059</v>
      </c>
      <c r="C370" s="4" t="s">
        <v>30</v>
      </c>
      <c r="D370" s="4" t="s">
        <v>1060</v>
      </c>
      <c r="E370" s="4" t="s">
        <v>1061</v>
      </c>
      <c r="F370" s="6">
        <f>3</f>
        <v>3</v>
      </c>
      <c r="G370" s="4" t="s">
        <v>25</v>
      </c>
      <c r="H370" s="7">
        <v>181.33</v>
      </c>
      <c r="I370" s="7">
        <v>181.33</v>
      </c>
      <c r="J370" s="8">
        <v>0.25</v>
      </c>
      <c r="K370" s="9">
        <f>226.66</f>
        <v>226.66</v>
      </c>
      <c r="L370" s="9">
        <f>679.98</f>
        <v>679.98</v>
      </c>
      <c r="M370" s="4"/>
      <c r="N370" s="10">
        <v>1</v>
      </c>
      <c r="O370" s="4" t="s">
        <v>26</v>
      </c>
      <c r="P370" s="11">
        <v>3</v>
      </c>
      <c r="Q370" s="9">
        <f>679.98</f>
        <v>679.98</v>
      </c>
    </row>
    <row r="371" spans="1:17" ht="45" customHeight="1" x14ac:dyDescent="0.25">
      <c r="A371" s="4" t="s">
        <v>20</v>
      </c>
      <c r="B371" s="5" t="s">
        <v>1062</v>
      </c>
      <c r="C371" s="4" t="s">
        <v>22</v>
      </c>
      <c r="D371" s="4" t="s">
        <v>1063</v>
      </c>
      <c r="E371" s="4" t="s">
        <v>1064</v>
      </c>
      <c r="F371" s="6">
        <f>2</f>
        <v>2</v>
      </c>
      <c r="G371" s="4" t="s">
        <v>25</v>
      </c>
      <c r="H371" s="7">
        <v>4315.96</v>
      </c>
      <c r="I371" s="7">
        <v>4315.95</v>
      </c>
      <c r="J371" s="8">
        <v>0.25</v>
      </c>
      <c r="K371" s="9">
        <f>5394.94</f>
        <v>5394.94</v>
      </c>
      <c r="L371" s="9">
        <f>10789.88</f>
        <v>10789.88</v>
      </c>
      <c r="M371" s="4"/>
      <c r="N371" s="10">
        <v>1</v>
      </c>
      <c r="O371" s="4" t="s">
        <v>26</v>
      </c>
      <c r="P371" s="11">
        <v>2</v>
      </c>
      <c r="Q371" s="9">
        <f>10789.88</f>
        <v>10789.88</v>
      </c>
    </row>
    <row r="372" spans="1:17" ht="45" customHeight="1" x14ac:dyDescent="0.25">
      <c r="A372" s="4" t="s">
        <v>20</v>
      </c>
      <c r="B372" s="5" t="s">
        <v>1065</v>
      </c>
      <c r="C372" s="4" t="s">
        <v>22</v>
      </c>
      <c r="D372" s="4" t="s">
        <v>1066</v>
      </c>
      <c r="E372" s="4" t="s">
        <v>1067</v>
      </c>
      <c r="F372" s="6">
        <f>3</f>
        <v>3</v>
      </c>
      <c r="G372" s="4" t="s">
        <v>25</v>
      </c>
      <c r="H372" s="7">
        <v>514.15</v>
      </c>
      <c r="I372" s="7">
        <v>514.14</v>
      </c>
      <c r="J372" s="8">
        <v>0.25</v>
      </c>
      <c r="K372" s="9">
        <f>642.68</f>
        <v>642.67999999999995</v>
      </c>
      <c r="L372" s="9">
        <f>1928.04</f>
        <v>1928.04</v>
      </c>
      <c r="M372" s="4"/>
      <c r="N372" s="10">
        <v>1</v>
      </c>
      <c r="O372" s="4" t="s">
        <v>26</v>
      </c>
      <c r="P372" s="11">
        <v>3</v>
      </c>
      <c r="Q372" s="9">
        <f>1928.04</f>
        <v>1928.04</v>
      </c>
    </row>
    <row r="373" spans="1:17" ht="45" customHeight="1" x14ac:dyDescent="0.25">
      <c r="A373" s="4" t="s">
        <v>20</v>
      </c>
      <c r="B373" s="5" t="s">
        <v>1068</v>
      </c>
      <c r="C373" s="4" t="s">
        <v>30</v>
      </c>
      <c r="D373" s="4" t="s">
        <v>1069</v>
      </c>
      <c r="E373" s="4" t="s">
        <v>1070</v>
      </c>
      <c r="F373" s="6">
        <f>2</f>
        <v>2</v>
      </c>
      <c r="G373" s="4" t="s">
        <v>25</v>
      </c>
      <c r="H373" s="7">
        <v>2664.65</v>
      </c>
      <c r="I373" s="7">
        <v>2664.65</v>
      </c>
      <c r="J373" s="8">
        <v>0.25</v>
      </c>
      <c r="K373" s="9">
        <f>3330.81</f>
        <v>3330.81</v>
      </c>
      <c r="L373" s="9">
        <f>6661.62</f>
        <v>6661.62</v>
      </c>
      <c r="M373" s="4"/>
      <c r="N373" s="10">
        <v>1</v>
      </c>
      <c r="O373" s="4" t="s">
        <v>26</v>
      </c>
      <c r="P373" s="11">
        <v>2</v>
      </c>
      <c r="Q373" s="9">
        <f>6661.62</f>
        <v>6661.62</v>
      </c>
    </row>
    <row r="374" spans="1:17" ht="45" customHeight="1" x14ac:dyDescent="0.25">
      <c r="A374" s="4" t="s">
        <v>20</v>
      </c>
      <c r="B374" s="5" t="s">
        <v>1071</v>
      </c>
      <c r="C374" s="4" t="s">
        <v>22</v>
      </c>
      <c r="D374" s="4" t="s">
        <v>1072</v>
      </c>
      <c r="E374" s="4" t="s">
        <v>1073</v>
      </c>
      <c r="F374" s="6">
        <f>1</f>
        <v>1</v>
      </c>
      <c r="G374" s="4" t="s">
        <v>25</v>
      </c>
      <c r="H374" s="7">
        <v>2610.63</v>
      </c>
      <c r="I374" s="7">
        <v>2610.62</v>
      </c>
      <c r="J374" s="8">
        <v>0.25</v>
      </c>
      <c r="K374" s="9">
        <f>3263.28</f>
        <v>3263.28</v>
      </c>
      <c r="L374" s="9">
        <f>3263.28</f>
        <v>3263.28</v>
      </c>
      <c r="M374" s="4"/>
      <c r="N374" s="10">
        <v>1</v>
      </c>
      <c r="O374" s="4" t="s">
        <v>26</v>
      </c>
      <c r="P374" s="11">
        <v>1</v>
      </c>
      <c r="Q374" s="9">
        <f>3263.28</f>
        <v>3263.28</v>
      </c>
    </row>
    <row r="375" spans="1:17" ht="45" customHeight="1" x14ac:dyDescent="0.25">
      <c r="A375" s="4" t="s">
        <v>20</v>
      </c>
      <c r="B375" s="5" t="s">
        <v>1074</v>
      </c>
      <c r="C375" s="4" t="s">
        <v>22</v>
      </c>
      <c r="D375" s="4" t="s">
        <v>1075</v>
      </c>
      <c r="E375" s="4" t="s">
        <v>1076</v>
      </c>
      <c r="F375" s="6">
        <f>1</f>
        <v>1</v>
      </c>
      <c r="G375" s="4" t="s">
        <v>25</v>
      </c>
      <c r="H375" s="7">
        <v>4163.28</v>
      </c>
      <c r="I375" s="7">
        <v>4163.26</v>
      </c>
      <c r="J375" s="8">
        <v>0.25</v>
      </c>
      <c r="K375" s="9">
        <f>5204.08</f>
        <v>5204.08</v>
      </c>
      <c r="L375" s="9">
        <f>5204.08</f>
        <v>5204.08</v>
      </c>
      <c r="M375" s="4"/>
      <c r="N375" s="10">
        <v>1</v>
      </c>
      <c r="O375" s="4" t="s">
        <v>26</v>
      </c>
      <c r="P375" s="11">
        <v>1</v>
      </c>
      <c r="Q375" s="9">
        <f>5204.08</f>
        <v>5204.08</v>
      </c>
    </row>
    <row r="376" spans="1:17" ht="45" customHeight="1" x14ac:dyDescent="0.25">
      <c r="A376" s="4" t="s">
        <v>20</v>
      </c>
      <c r="B376" s="5" t="s">
        <v>1077</v>
      </c>
      <c r="C376" s="4" t="s">
        <v>22</v>
      </c>
      <c r="D376" s="4" t="s">
        <v>1078</v>
      </c>
      <c r="E376" s="4" t="s">
        <v>1079</v>
      </c>
      <c r="F376" s="6">
        <f>2</f>
        <v>2</v>
      </c>
      <c r="G376" s="4" t="s">
        <v>25</v>
      </c>
      <c r="H376" s="7">
        <v>335.62</v>
      </c>
      <c r="I376" s="7">
        <v>335.6</v>
      </c>
      <c r="J376" s="8">
        <v>0.25</v>
      </c>
      <c r="K376" s="9">
        <f>419.5</f>
        <v>419.5</v>
      </c>
      <c r="L376" s="9">
        <f>839</f>
        <v>839</v>
      </c>
      <c r="M376" s="4"/>
      <c r="N376" s="10">
        <v>1</v>
      </c>
      <c r="O376" s="4" t="s">
        <v>26</v>
      </c>
      <c r="P376" s="11">
        <v>2</v>
      </c>
      <c r="Q376" s="9">
        <f>839</f>
        <v>839</v>
      </c>
    </row>
    <row r="377" spans="1:17" ht="45" customHeight="1" x14ac:dyDescent="0.25">
      <c r="A377" s="4" t="s">
        <v>20</v>
      </c>
      <c r="B377" s="5" t="s">
        <v>1080</v>
      </c>
      <c r="C377" s="4" t="s">
        <v>22</v>
      </c>
      <c r="D377" s="4" t="s">
        <v>1081</v>
      </c>
      <c r="E377" s="4" t="s">
        <v>1082</v>
      </c>
      <c r="F377" s="6">
        <f>2</f>
        <v>2</v>
      </c>
      <c r="G377" s="4" t="s">
        <v>25</v>
      </c>
      <c r="H377" s="7">
        <v>197.42</v>
      </c>
      <c r="I377" s="7">
        <v>197.4</v>
      </c>
      <c r="J377" s="8">
        <v>0.25</v>
      </c>
      <c r="K377" s="9">
        <f>246.75</f>
        <v>246.75</v>
      </c>
      <c r="L377" s="9">
        <f>493.5</f>
        <v>493.5</v>
      </c>
      <c r="M377" s="4"/>
      <c r="N377" s="10">
        <v>1</v>
      </c>
      <c r="O377" s="4" t="s">
        <v>26</v>
      </c>
      <c r="P377" s="11">
        <v>2</v>
      </c>
      <c r="Q377" s="9">
        <f>493.5</f>
        <v>493.5</v>
      </c>
    </row>
    <row r="378" spans="1:17" ht="45" customHeight="1" x14ac:dyDescent="0.25">
      <c r="A378" s="4" t="s">
        <v>20</v>
      </c>
      <c r="B378" s="5" t="s">
        <v>1083</v>
      </c>
      <c r="C378" s="4" t="s">
        <v>30</v>
      </c>
      <c r="D378" s="4" t="s">
        <v>1084</v>
      </c>
      <c r="E378" s="4" t="s">
        <v>1085</v>
      </c>
      <c r="F378" s="6">
        <f>30</f>
        <v>30</v>
      </c>
      <c r="G378" s="4" t="s">
        <v>46</v>
      </c>
      <c r="H378" s="7">
        <v>3.21</v>
      </c>
      <c r="I378" s="7">
        <v>3.21</v>
      </c>
      <c r="J378" s="8">
        <v>0.25</v>
      </c>
      <c r="K378" s="9">
        <f>4.01</f>
        <v>4.01</v>
      </c>
      <c r="L378" s="9">
        <f>120.3</f>
        <v>120.3</v>
      </c>
      <c r="M378" s="4"/>
      <c r="N378" s="10">
        <v>1</v>
      </c>
      <c r="O378" s="4" t="s">
        <v>26</v>
      </c>
      <c r="P378" s="11">
        <v>30</v>
      </c>
      <c r="Q378" s="9">
        <f>120.3</f>
        <v>120.3</v>
      </c>
    </row>
    <row r="379" spans="1:17" ht="45" customHeight="1" x14ac:dyDescent="0.25">
      <c r="A379" s="4" t="s">
        <v>20</v>
      </c>
      <c r="B379" s="5" t="s">
        <v>1086</v>
      </c>
      <c r="C379" s="4" t="s">
        <v>30</v>
      </c>
      <c r="D379" s="4" t="s">
        <v>1087</v>
      </c>
      <c r="E379" s="4" t="s">
        <v>1088</v>
      </c>
      <c r="F379" s="6">
        <f>30</f>
        <v>30</v>
      </c>
      <c r="G379" s="4" t="s">
        <v>46</v>
      </c>
      <c r="H379" s="7">
        <v>4.62</v>
      </c>
      <c r="I379" s="7">
        <v>4.62</v>
      </c>
      <c r="J379" s="8">
        <v>0.25</v>
      </c>
      <c r="K379" s="9">
        <f>5.78</f>
        <v>5.78</v>
      </c>
      <c r="L379" s="9">
        <f>173.4</f>
        <v>173.4</v>
      </c>
      <c r="M379" s="4"/>
      <c r="N379" s="10">
        <v>1</v>
      </c>
      <c r="O379" s="4" t="s">
        <v>26</v>
      </c>
      <c r="P379" s="11">
        <v>30</v>
      </c>
      <c r="Q379" s="9">
        <f>173.4</f>
        <v>173.4</v>
      </c>
    </row>
    <row r="380" spans="1:17" ht="45" customHeight="1" x14ac:dyDescent="0.25">
      <c r="A380" s="4" t="s">
        <v>20</v>
      </c>
      <c r="B380" s="5" t="s">
        <v>1089</v>
      </c>
      <c r="C380" s="4" t="s">
        <v>30</v>
      </c>
      <c r="D380" s="4" t="s">
        <v>1090</v>
      </c>
      <c r="E380" s="4" t="s">
        <v>1091</v>
      </c>
      <c r="F380" s="6">
        <f>3.52</f>
        <v>3.52</v>
      </c>
      <c r="G380" s="4" t="s">
        <v>46</v>
      </c>
      <c r="H380" s="7">
        <v>44.62</v>
      </c>
      <c r="I380" s="7">
        <v>44.62</v>
      </c>
      <c r="J380" s="8">
        <v>0.25</v>
      </c>
      <c r="K380" s="9">
        <f>55.78</f>
        <v>55.78</v>
      </c>
      <c r="L380" s="9">
        <f>196.35</f>
        <v>196.35</v>
      </c>
      <c r="M380" s="4"/>
      <c r="N380" s="10">
        <v>1</v>
      </c>
      <c r="O380" s="4" t="s">
        <v>26</v>
      </c>
      <c r="P380" s="11">
        <v>3.52</v>
      </c>
      <c r="Q380" s="9">
        <f>196.35</f>
        <v>196.35</v>
      </c>
    </row>
    <row r="381" spans="1:17" ht="45" customHeight="1" x14ac:dyDescent="0.25">
      <c r="A381" s="4" t="s">
        <v>20</v>
      </c>
      <c r="B381" s="5" t="s">
        <v>1092</v>
      </c>
      <c r="C381" s="4" t="s">
        <v>30</v>
      </c>
      <c r="D381" s="4" t="s">
        <v>1093</v>
      </c>
      <c r="E381" s="4" t="s">
        <v>1094</v>
      </c>
      <c r="F381" s="6">
        <f>1.44</f>
        <v>1.44</v>
      </c>
      <c r="G381" s="4" t="s">
        <v>46</v>
      </c>
      <c r="H381" s="7">
        <v>63.44</v>
      </c>
      <c r="I381" s="7">
        <v>63.44</v>
      </c>
      <c r="J381" s="8">
        <v>0.25</v>
      </c>
      <c r="K381" s="9">
        <f>79.3</f>
        <v>79.3</v>
      </c>
      <c r="L381" s="9">
        <f>114.19</f>
        <v>114.19</v>
      </c>
      <c r="M381" s="4"/>
      <c r="N381" s="10">
        <v>1</v>
      </c>
      <c r="O381" s="4" t="s">
        <v>26</v>
      </c>
      <c r="P381" s="11">
        <v>1.44</v>
      </c>
      <c r="Q381" s="9">
        <f>114.19</f>
        <v>114.19</v>
      </c>
    </row>
    <row r="382" spans="1:17" ht="45" customHeight="1" x14ac:dyDescent="0.25">
      <c r="A382" s="4" t="s">
        <v>20</v>
      </c>
      <c r="B382" s="5" t="s">
        <v>1095</v>
      </c>
      <c r="C382" s="4" t="s">
        <v>30</v>
      </c>
      <c r="D382" s="4" t="s">
        <v>1096</v>
      </c>
      <c r="E382" s="4" t="s">
        <v>1097</v>
      </c>
      <c r="F382" s="6">
        <f>81.2</f>
        <v>81.2</v>
      </c>
      <c r="G382" s="4" t="s">
        <v>46</v>
      </c>
      <c r="H382" s="7">
        <v>108.5</v>
      </c>
      <c r="I382" s="7">
        <v>108.5</v>
      </c>
      <c r="J382" s="8">
        <v>0.25</v>
      </c>
      <c r="K382" s="9">
        <f>135.63</f>
        <v>135.63</v>
      </c>
      <c r="L382" s="9">
        <f>11013.16</f>
        <v>11013.16</v>
      </c>
      <c r="M382" s="4"/>
      <c r="N382" s="10">
        <v>1</v>
      </c>
      <c r="O382" s="4" t="s">
        <v>26</v>
      </c>
      <c r="P382" s="11">
        <v>81.2</v>
      </c>
      <c r="Q382" s="9">
        <f>11013.16</f>
        <v>11013.16</v>
      </c>
    </row>
    <row r="383" spans="1:17" ht="45" customHeight="1" x14ac:dyDescent="0.25">
      <c r="A383" s="4" t="s">
        <v>20</v>
      </c>
      <c r="B383" s="5" t="s">
        <v>1098</v>
      </c>
      <c r="C383" s="4" t="s">
        <v>30</v>
      </c>
      <c r="D383" s="4" t="s">
        <v>1099</v>
      </c>
      <c r="E383" s="4" t="s">
        <v>1100</v>
      </c>
      <c r="F383" s="6">
        <f>5.12</f>
        <v>5.12</v>
      </c>
      <c r="G383" s="4" t="s">
        <v>46</v>
      </c>
      <c r="H383" s="7">
        <v>143.15</v>
      </c>
      <c r="I383" s="7">
        <v>143.15</v>
      </c>
      <c r="J383" s="8">
        <v>0.25</v>
      </c>
      <c r="K383" s="9">
        <f>178.94</f>
        <v>178.94</v>
      </c>
      <c r="L383" s="9">
        <f>916.17</f>
        <v>916.17</v>
      </c>
      <c r="M383" s="4"/>
      <c r="N383" s="10">
        <v>1</v>
      </c>
      <c r="O383" s="4" t="s">
        <v>26</v>
      </c>
      <c r="P383" s="11">
        <v>5.12</v>
      </c>
      <c r="Q383" s="9">
        <f>916.17</f>
        <v>916.17</v>
      </c>
    </row>
    <row r="384" spans="1:17" ht="45" customHeight="1" x14ac:dyDescent="0.25">
      <c r="A384" s="4" t="s">
        <v>20</v>
      </c>
      <c r="B384" s="5" t="s">
        <v>1101</v>
      </c>
      <c r="C384" s="4" t="s">
        <v>22</v>
      </c>
      <c r="D384" s="4" t="s">
        <v>1102</v>
      </c>
      <c r="E384" s="4" t="s">
        <v>1103</v>
      </c>
      <c r="F384" s="6">
        <f>6</f>
        <v>6</v>
      </c>
      <c r="G384" s="4" t="s">
        <v>25</v>
      </c>
      <c r="H384" s="7">
        <v>39.17</v>
      </c>
      <c r="I384" s="7">
        <v>39.15</v>
      </c>
      <c r="J384" s="8">
        <v>0.25</v>
      </c>
      <c r="K384" s="9">
        <f>48.94</f>
        <v>48.94</v>
      </c>
      <c r="L384" s="9">
        <f>293.64</f>
        <v>293.64</v>
      </c>
      <c r="M384" s="4"/>
      <c r="N384" s="10">
        <v>1</v>
      </c>
      <c r="O384" s="4" t="s">
        <v>26</v>
      </c>
      <c r="P384" s="11">
        <v>6</v>
      </c>
      <c r="Q384" s="9">
        <f>293.64</f>
        <v>293.64</v>
      </c>
    </row>
    <row r="385" spans="1:17" ht="45" customHeight="1" x14ac:dyDescent="0.25">
      <c r="A385" s="4" t="s">
        <v>20</v>
      </c>
      <c r="B385" s="5" t="s">
        <v>1104</v>
      </c>
      <c r="C385" s="4" t="s">
        <v>22</v>
      </c>
      <c r="D385" s="4" t="s">
        <v>1105</v>
      </c>
      <c r="E385" s="4" t="s">
        <v>1106</v>
      </c>
      <c r="F385" s="6">
        <f>5</f>
        <v>5</v>
      </c>
      <c r="G385" s="4" t="s">
        <v>25</v>
      </c>
      <c r="H385" s="7">
        <v>79.87</v>
      </c>
      <c r="I385" s="7">
        <v>79.849999999999994</v>
      </c>
      <c r="J385" s="8">
        <v>0.25</v>
      </c>
      <c r="K385" s="9">
        <f>99.81</f>
        <v>99.81</v>
      </c>
      <c r="L385" s="9">
        <f>499.05</f>
        <v>499.05</v>
      </c>
      <c r="M385" s="4"/>
      <c r="N385" s="10">
        <v>1</v>
      </c>
      <c r="O385" s="4" t="s">
        <v>26</v>
      </c>
      <c r="P385" s="11">
        <v>5</v>
      </c>
      <c r="Q385" s="9">
        <f>499.05</f>
        <v>499.05</v>
      </c>
    </row>
    <row r="386" spans="1:17" ht="45" customHeight="1" x14ac:dyDescent="0.25">
      <c r="A386" s="4" t="s">
        <v>20</v>
      </c>
      <c r="B386" s="5" t="s">
        <v>1107</v>
      </c>
      <c r="C386" s="4" t="s">
        <v>30</v>
      </c>
      <c r="D386" s="4" t="s">
        <v>1108</v>
      </c>
      <c r="E386" s="4" t="s">
        <v>1109</v>
      </c>
      <c r="F386" s="6">
        <f>15</f>
        <v>15</v>
      </c>
      <c r="G386" s="4" t="s">
        <v>25</v>
      </c>
      <c r="H386" s="7">
        <v>123</v>
      </c>
      <c r="I386" s="7">
        <v>123</v>
      </c>
      <c r="J386" s="8">
        <v>0.25</v>
      </c>
      <c r="K386" s="9">
        <f>153.75</f>
        <v>153.75</v>
      </c>
      <c r="L386" s="9">
        <f>2306.25</f>
        <v>2306.25</v>
      </c>
      <c r="M386" s="4"/>
      <c r="N386" s="10">
        <v>1</v>
      </c>
      <c r="O386" s="4" t="s">
        <v>26</v>
      </c>
      <c r="P386" s="11">
        <v>15</v>
      </c>
      <c r="Q386" s="9">
        <f>2306.25</f>
        <v>2306.25</v>
      </c>
    </row>
    <row r="387" spans="1:17" ht="45" customHeight="1" x14ac:dyDescent="0.25">
      <c r="A387" s="4" t="s">
        <v>20</v>
      </c>
      <c r="B387" s="5" t="s">
        <v>1110</v>
      </c>
      <c r="C387" s="4" t="s">
        <v>30</v>
      </c>
      <c r="D387" s="4" t="s">
        <v>1111</v>
      </c>
      <c r="E387" s="4" t="s">
        <v>1112</v>
      </c>
      <c r="F387" s="6">
        <f>6</f>
        <v>6</v>
      </c>
      <c r="G387" s="4" t="s">
        <v>25</v>
      </c>
      <c r="H387" s="7">
        <v>166.33</v>
      </c>
      <c r="I387" s="7">
        <v>166.33</v>
      </c>
      <c r="J387" s="8">
        <v>0.25</v>
      </c>
      <c r="K387" s="9">
        <f>207.91</f>
        <v>207.91</v>
      </c>
      <c r="L387" s="9">
        <f>1247.46</f>
        <v>1247.46</v>
      </c>
      <c r="M387" s="4"/>
      <c r="N387" s="10">
        <v>1</v>
      </c>
      <c r="O387" s="4" t="s">
        <v>26</v>
      </c>
      <c r="P387" s="11">
        <v>6</v>
      </c>
      <c r="Q387" s="9">
        <f>1247.46</f>
        <v>1247.46</v>
      </c>
    </row>
    <row r="388" spans="1:17" ht="45" customHeight="1" x14ac:dyDescent="0.25">
      <c r="A388" s="4" t="s">
        <v>20</v>
      </c>
      <c r="B388" s="5" t="s">
        <v>1113</v>
      </c>
      <c r="C388" s="4" t="s">
        <v>22</v>
      </c>
      <c r="D388" s="4" t="s">
        <v>1114</v>
      </c>
      <c r="E388" s="4" t="s">
        <v>1115</v>
      </c>
      <c r="F388" s="6">
        <f>6</f>
        <v>6</v>
      </c>
      <c r="G388" s="4" t="s">
        <v>25</v>
      </c>
      <c r="H388" s="7">
        <v>21.03</v>
      </c>
      <c r="I388" s="7">
        <v>21</v>
      </c>
      <c r="J388" s="8">
        <v>0.25</v>
      </c>
      <c r="K388" s="9">
        <f>26.25</f>
        <v>26.25</v>
      </c>
      <c r="L388" s="9">
        <f>157.5</f>
        <v>157.5</v>
      </c>
      <c r="M388" s="4"/>
      <c r="N388" s="10">
        <v>1</v>
      </c>
      <c r="O388" s="4" t="s">
        <v>26</v>
      </c>
      <c r="P388" s="11">
        <v>6</v>
      </c>
      <c r="Q388" s="9">
        <f>157.5</f>
        <v>157.5</v>
      </c>
    </row>
    <row r="389" spans="1:17" ht="45" customHeight="1" x14ac:dyDescent="0.25">
      <c r="A389" s="4" t="s">
        <v>20</v>
      </c>
      <c r="B389" s="5" t="s">
        <v>1116</v>
      </c>
      <c r="C389" s="4" t="s">
        <v>30</v>
      </c>
      <c r="D389" s="4" t="s">
        <v>1117</v>
      </c>
      <c r="E389" s="4" t="s">
        <v>1118</v>
      </c>
      <c r="F389" s="6">
        <f>6</f>
        <v>6</v>
      </c>
      <c r="G389" s="4" t="s">
        <v>25</v>
      </c>
      <c r="H389" s="7">
        <v>36.99</v>
      </c>
      <c r="I389" s="7">
        <v>36.99</v>
      </c>
      <c r="J389" s="8">
        <v>0.25</v>
      </c>
      <c r="K389" s="9">
        <f>46.24</f>
        <v>46.24</v>
      </c>
      <c r="L389" s="9">
        <f>277.44</f>
        <v>277.44</v>
      </c>
      <c r="M389" s="4"/>
      <c r="N389" s="10">
        <v>1</v>
      </c>
      <c r="O389" s="4" t="s">
        <v>26</v>
      </c>
      <c r="P389" s="11">
        <v>6</v>
      </c>
      <c r="Q389" s="9">
        <f>277.44</f>
        <v>277.44</v>
      </c>
    </row>
    <row r="390" spans="1:17" ht="45" customHeight="1" x14ac:dyDescent="0.25">
      <c r="A390" s="4" t="s">
        <v>20</v>
      </c>
      <c r="B390" s="5" t="s">
        <v>1119</v>
      </c>
      <c r="C390" s="4" t="s">
        <v>22</v>
      </c>
      <c r="D390" s="4" t="s">
        <v>1120</v>
      </c>
      <c r="E390" s="4" t="s">
        <v>1121</v>
      </c>
      <c r="F390" s="6">
        <f>2</f>
        <v>2</v>
      </c>
      <c r="G390" s="4" t="s">
        <v>25</v>
      </c>
      <c r="H390" s="7">
        <v>106</v>
      </c>
      <c r="I390" s="7">
        <v>105.98</v>
      </c>
      <c r="J390" s="8">
        <v>0.25</v>
      </c>
      <c r="K390" s="9">
        <f>132.48</f>
        <v>132.47999999999999</v>
      </c>
      <c r="L390" s="9">
        <f>264.96</f>
        <v>264.95999999999998</v>
      </c>
      <c r="M390" s="4"/>
      <c r="N390" s="10">
        <v>1</v>
      </c>
      <c r="O390" s="4" t="s">
        <v>26</v>
      </c>
      <c r="P390" s="11">
        <v>2</v>
      </c>
      <c r="Q390" s="9">
        <f>264.96</f>
        <v>264.95999999999998</v>
      </c>
    </row>
    <row r="391" spans="1:17" ht="45" customHeight="1" x14ac:dyDescent="0.25">
      <c r="A391" s="4" t="s">
        <v>20</v>
      </c>
      <c r="B391" s="5" t="s">
        <v>1122</v>
      </c>
      <c r="C391" s="4" t="s">
        <v>22</v>
      </c>
      <c r="D391" s="4" t="s">
        <v>1123</v>
      </c>
      <c r="E391" s="4" t="s">
        <v>1124</v>
      </c>
      <c r="F391" s="6">
        <f>1</f>
        <v>1</v>
      </c>
      <c r="G391" s="4" t="s">
        <v>25</v>
      </c>
      <c r="H391" s="7">
        <v>344.54</v>
      </c>
      <c r="I391" s="7">
        <v>344.52</v>
      </c>
      <c r="J391" s="8">
        <v>0.25</v>
      </c>
      <c r="K391" s="9">
        <f>430.65</f>
        <v>430.65</v>
      </c>
      <c r="L391" s="9">
        <f>430.65</f>
        <v>430.65</v>
      </c>
      <c r="M391" s="4"/>
      <c r="N391" s="10">
        <v>1</v>
      </c>
      <c r="O391" s="4" t="s">
        <v>26</v>
      </c>
      <c r="P391" s="11">
        <v>1</v>
      </c>
      <c r="Q391" s="9">
        <f>430.65</f>
        <v>430.65</v>
      </c>
    </row>
    <row r="392" spans="1:17" ht="45" customHeight="1" x14ac:dyDescent="0.25">
      <c r="A392" s="4" t="s">
        <v>20</v>
      </c>
      <c r="B392" s="5" t="s">
        <v>1125</v>
      </c>
      <c r="C392" s="4" t="s">
        <v>22</v>
      </c>
      <c r="D392" s="4" t="s">
        <v>1126</v>
      </c>
      <c r="E392" s="4" t="s">
        <v>1127</v>
      </c>
      <c r="F392" s="6">
        <f>2</f>
        <v>2</v>
      </c>
      <c r="G392" s="4" t="s">
        <v>25</v>
      </c>
      <c r="H392" s="7">
        <v>379.81</v>
      </c>
      <c r="I392" s="7">
        <v>379.78</v>
      </c>
      <c r="J392" s="8">
        <v>0.25</v>
      </c>
      <c r="K392" s="9">
        <f>474.73</f>
        <v>474.73</v>
      </c>
      <c r="L392" s="9">
        <f>949.46</f>
        <v>949.46</v>
      </c>
      <c r="M392" s="4"/>
      <c r="N392" s="10">
        <v>1</v>
      </c>
      <c r="O392" s="4" t="s">
        <v>26</v>
      </c>
      <c r="P392" s="11">
        <v>2</v>
      </c>
      <c r="Q392" s="9">
        <f>949.46</f>
        <v>949.46</v>
      </c>
    </row>
    <row r="393" spans="1:17" ht="45" customHeight="1" x14ac:dyDescent="0.25">
      <c r="A393" s="4" t="s">
        <v>20</v>
      </c>
      <c r="B393" s="5" t="s">
        <v>1128</v>
      </c>
      <c r="C393" s="4" t="s">
        <v>30</v>
      </c>
      <c r="D393" s="4" t="s">
        <v>1129</v>
      </c>
      <c r="E393" s="4" t="s">
        <v>1130</v>
      </c>
      <c r="F393" s="6">
        <f>2</f>
        <v>2</v>
      </c>
      <c r="G393" s="4" t="s">
        <v>25</v>
      </c>
      <c r="H393" s="7">
        <v>403.91</v>
      </c>
      <c r="I393" s="7">
        <v>403.91</v>
      </c>
      <c r="J393" s="8">
        <v>0.25</v>
      </c>
      <c r="K393" s="9">
        <f>504.89</f>
        <v>504.89</v>
      </c>
      <c r="L393" s="9">
        <f>1009.78</f>
        <v>1009.78</v>
      </c>
      <c r="M393" s="4"/>
      <c r="N393" s="10">
        <v>1</v>
      </c>
      <c r="O393" s="4" t="s">
        <v>26</v>
      </c>
      <c r="P393" s="11">
        <v>2</v>
      </c>
      <c r="Q393" s="9">
        <f>1009.78</f>
        <v>1009.78</v>
      </c>
    </row>
    <row r="394" spans="1:17" ht="45" customHeight="1" x14ac:dyDescent="0.25">
      <c r="A394" s="4" t="s">
        <v>20</v>
      </c>
      <c r="B394" s="5" t="s">
        <v>1131</v>
      </c>
      <c r="C394" s="4" t="s">
        <v>30</v>
      </c>
      <c r="D394" s="4" t="s">
        <v>1132</v>
      </c>
      <c r="E394" s="4" t="s">
        <v>1133</v>
      </c>
      <c r="F394" s="6">
        <f>7</f>
        <v>7</v>
      </c>
      <c r="G394" s="4" t="s">
        <v>25</v>
      </c>
      <c r="H394" s="7">
        <v>139.63999999999999</v>
      </c>
      <c r="I394" s="7">
        <v>139.63999999999999</v>
      </c>
      <c r="J394" s="8">
        <v>0.25</v>
      </c>
      <c r="K394" s="9">
        <f>174.55</f>
        <v>174.55</v>
      </c>
      <c r="L394" s="9">
        <f>1221.85</f>
        <v>1221.8499999999999</v>
      </c>
      <c r="M394" s="4"/>
      <c r="N394" s="10">
        <v>1</v>
      </c>
      <c r="O394" s="4" t="s">
        <v>26</v>
      </c>
      <c r="P394" s="11">
        <v>7</v>
      </c>
      <c r="Q394" s="9">
        <f>1221.85</f>
        <v>1221.8499999999999</v>
      </c>
    </row>
    <row r="395" spans="1:17" ht="45" customHeight="1" x14ac:dyDescent="0.25">
      <c r="A395" s="4" t="s">
        <v>20</v>
      </c>
      <c r="B395" s="5" t="s">
        <v>1134</v>
      </c>
      <c r="C395" s="4" t="s">
        <v>22</v>
      </c>
      <c r="D395" s="4" t="s">
        <v>1135</v>
      </c>
      <c r="E395" s="4" t="s">
        <v>1136</v>
      </c>
      <c r="F395" s="6">
        <f>2</f>
        <v>2</v>
      </c>
      <c r="G395" s="4" t="s">
        <v>25</v>
      </c>
      <c r="H395" s="7">
        <v>171.07</v>
      </c>
      <c r="I395" s="7">
        <v>171.04</v>
      </c>
      <c r="J395" s="8">
        <v>0.25</v>
      </c>
      <c r="K395" s="9">
        <f>213.8</f>
        <v>213.8</v>
      </c>
      <c r="L395" s="9">
        <f>427.6</f>
        <v>427.6</v>
      </c>
      <c r="M395" s="4"/>
      <c r="N395" s="10">
        <v>1</v>
      </c>
      <c r="O395" s="4" t="s">
        <v>26</v>
      </c>
      <c r="P395" s="11">
        <v>2</v>
      </c>
      <c r="Q395" s="9">
        <f>427.6</f>
        <v>427.6</v>
      </c>
    </row>
    <row r="396" spans="1:17" ht="45" customHeight="1" x14ac:dyDescent="0.25">
      <c r="A396" s="4" t="s">
        <v>20</v>
      </c>
      <c r="B396" s="5" t="s">
        <v>1137</v>
      </c>
      <c r="C396" s="4" t="s">
        <v>30</v>
      </c>
      <c r="D396" s="4" t="s">
        <v>1138</v>
      </c>
      <c r="E396" s="4" t="s">
        <v>1139</v>
      </c>
      <c r="F396" s="6">
        <f>2</f>
        <v>2</v>
      </c>
      <c r="G396" s="4" t="s">
        <v>25</v>
      </c>
      <c r="H396" s="7">
        <v>207.7</v>
      </c>
      <c r="I396" s="7">
        <v>207.7</v>
      </c>
      <c r="J396" s="8">
        <v>0.25</v>
      </c>
      <c r="K396" s="9">
        <f>259.63</f>
        <v>259.63</v>
      </c>
      <c r="L396" s="9">
        <f>519.26</f>
        <v>519.26</v>
      </c>
      <c r="M396" s="4"/>
      <c r="N396" s="10">
        <v>1</v>
      </c>
      <c r="O396" s="4" t="s">
        <v>26</v>
      </c>
      <c r="P396" s="11">
        <v>2</v>
      </c>
      <c r="Q396" s="9">
        <f>519.26</f>
        <v>519.26</v>
      </c>
    </row>
    <row r="397" spans="1:17" ht="45" customHeight="1" x14ac:dyDescent="0.25">
      <c r="A397" s="4" t="s">
        <v>20</v>
      </c>
      <c r="B397" s="5" t="s">
        <v>1140</v>
      </c>
      <c r="C397" s="4" t="s">
        <v>30</v>
      </c>
      <c r="D397" s="4" t="s">
        <v>1141</v>
      </c>
      <c r="E397" s="4" t="s">
        <v>1142</v>
      </c>
      <c r="F397" s="6">
        <f>5</f>
        <v>5</v>
      </c>
      <c r="G397" s="4" t="s">
        <v>25</v>
      </c>
      <c r="H397" s="7">
        <v>262.82</v>
      </c>
      <c r="I397" s="7">
        <v>262.82</v>
      </c>
      <c r="J397" s="8">
        <v>0.25</v>
      </c>
      <c r="K397" s="9">
        <f>328.53</f>
        <v>328.53</v>
      </c>
      <c r="L397" s="9">
        <f>1642.65</f>
        <v>1642.65</v>
      </c>
      <c r="M397" s="4"/>
      <c r="N397" s="10">
        <v>1</v>
      </c>
      <c r="O397" s="4" t="s">
        <v>26</v>
      </c>
      <c r="P397" s="11">
        <v>5</v>
      </c>
      <c r="Q397" s="9">
        <f>1642.65</f>
        <v>1642.65</v>
      </c>
    </row>
    <row r="398" spans="1:17" ht="45" customHeight="1" x14ac:dyDescent="0.25">
      <c r="A398" s="4" t="s">
        <v>20</v>
      </c>
      <c r="B398" s="5" t="s">
        <v>1143</v>
      </c>
      <c r="C398" s="4" t="s">
        <v>30</v>
      </c>
      <c r="D398" s="4" t="s">
        <v>1144</v>
      </c>
      <c r="E398" s="4" t="s">
        <v>1145</v>
      </c>
      <c r="F398" s="6">
        <f>10</f>
        <v>10</v>
      </c>
      <c r="G398" s="4" t="s">
        <v>25</v>
      </c>
      <c r="H398" s="7">
        <v>33.39</v>
      </c>
      <c r="I398" s="7">
        <v>33.39</v>
      </c>
      <c r="J398" s="8">
        <v>0.25</v>
      </c>
      <c r="K398" s="9">
        <f>41.74</f>
        <v>41.74</v>
      </c>
      <c r="L398" s="9">
        <f>417.4</f>
        <v>417.4</v>
      </c>
      <c r="M398" s="4"/>
      <c r="N398" s="10">
        <v>1</v>
      </c>
      <c r="O398" s="4" t="s">
        <v>26</v>
      </c>
      <c r="P398" s="11">
        <v>10</v>
      </c>
      <c r="Q398" s="9">
        <f>417.4</f>
        <v>417.4</v>
      </c>
    </row>
    <row r="399" spans="1:17" ht="45" customHeight="1" x14ac:dyDescent="0.25">
      <c r="A399" s="4" t="s">
        <v>20</v>
      </c>
      <c r="B399" s="5" t="s">
        <v>1146</v>
      </c>
      <c r="C399" s="4" t="s">
        <v>30</v>
      </c>
      <c r="D399" s="4" t="s">
        <v>1147</v>
      </c>
      <c r="E399" s="4" t="s">
        <v>1148</v>
      </c>
      <c r="F399" s="6">
        <f>29.96</f>
        <v>29.96</v>
      </c>
      <c r="G399" s="4" t="s">
        <v>46</v>
      </c>
      <c r="H399" s="7">
        <v>20.190000000000001</v>
      </c>
      <c r="I399" s="7">
        <v>20.190000000000001</v>
      </c>
      <c r="J399" s="8">
        <v>0.25</v>
      </c>
      <c r="K399" s="9">
        <f>25.24</f>
        <v>25.24</v>
      </c>
      <c r="L399" s="9">
        <f>756.19</f>
        <v>756.19</v>
      </c>
      <c r="M399" s="4"/>
      <c r="N399" s="10">
        <v>1</v>
      </c>
      <c r="O399" s="4" t="s">
        <v>26</v>
      </c>
      <c r="P399" s="11">
        <v>29.96</v>
      </c>
      <c r="Q399" s="9">
        <f>756.19</f>
        <v>756.19</v>
      </c>
    </row>
    <row r="400" spans="1:17" ht="45" customHeight="1" x14ac:dyDescent="0.25">
      <c r="A400" s="4" t="s">
        <v>20</v>
      </c>
      <c r="B400" s="5" t="s">
        <v>1149</v>
      </c>
      <c r="C400" s="4" t="s">
        <v>30</v>
      </c>
      <c r="D400" s="4" t="s">
        <v>1150</v>
      </c>
      <c r="E400" s="4" t="s">
        <v>1151</v>
      </c>
      <c r="F400" s="6">
        <f>6</f>
        <v>6</v>
      </c>
      <c r="G400" s="4" t="s">
        <v>25</v>
      </c>
      <c r="H400" s="7">
        <v>20.61</v>
      </c>
      <c r="I400" s="7">
        <v>20.61</v>
      </c>
      <c r="J400" s="8">
        <v>0.25</v>
      </c>
      <c r="K400" s="9">
        <f>25.76</f>
        <v>25.76</v>
      </c>
      <c r="L400" s="9">
        <f>154.56</f>
        <v>154.56</v>
      </c>
      <c r="M400" s="4"/>
      <c r="N400" s="10">
        <v>1</v>
      </c>
      <c r="O400" s="4" t="s">
        <v>26</v>
      </c>
      <c r="P400" s="11">
        <v>6</v>
      </c>
      <c r="Q400" s="9">
        <f>154.56</f>
        <v>154.56</v>
      </c>
    </row>
    <row r="401" spans="1:17" ht="45" customHeight="1" x14ac:dyDescent="0.25">
      <c r="A401" s="4" t="s">
        <v>20</v>
      </c>
      <c r="B401" s="5" t="s">
        <v>1152</v>
      </c>
      <c r="C401" s="4" t="s">
        <v>22</v>
      </c>
      <c r="D401" s="4" t="s">
        <v>1153</v>
      </c>
      <c r="E401" s="4" t="s">
        <v>1154</v>
      </c>
      <c r="F401" s="6">
        <f>5</f>
        <v>5</v>
      </c>
      <c r="G401" s="4" t="s">
        <v>25</v>
      </c>
      <c r="H401" s="7">
        <v>11.4</v>
      </c>
      <c r="I401" s="7">
        <v>11.39</v>
      </c>
      <c r="J401" s="8">
        <v>0.25</v>
      </c>
      <c r="K401" s="9">
        <f>14.24</f>
        <v>14.24</v>
      </c>
      <c r="L401" s="9">
        <f>71.2</f>
        <v>71.2</v>
      </c>
      <c r="M401" s="4"/>
      <c r="N401" s="10">
        <v>1</v>
      </c>
      <c r="O401" s="4" t="s">
        <v>26</v>
      </c>
      <c r="P401" s="11">
        <v>5</v>
      </c>
      <c r="Q401" s="9">
        <f>71.2</f>
        <v>71.2</v>
      </c>
    </row>
    <row r="402" spans="1:17" ht="45" customHeight="1" x14ac:dyDescent="0.25">
      <c r="A402" s="4" t="s">
        <v>20</v>
      </c>
      <c r="B402" s="5" t="s">
        <v>1155</v>
      </c>
      <c r="C402" s="4" t="s">
        <v>30</v>
      </c>
      <c r="D402" s="4" t="s">
        <v>1156</v>
      </c>
      <c r="E402" s="4" t="s">
        <v>1157</v>
      </c>
      <c r="F402" s="6">
        <f>4</f>
        <v>4</v>
      </c>
      <c r="G402" s="4" t="s">
        <v>25</v>
      </c>
      <c r="H402" s="7">
        <v>9.4700000000000006</v>
      </c>
      <c r="I402" s="7">
        <v>9.4700000000000006</v>
      </c>
      <c r="J402" s="8">
        <v>0.25</v>
      </c>
      <c r="K402" s="9">
        <f>11.84</f>
        <v>11.84</v>
      </c>
      <c r="L402" s="9">
        <f>47.36</f>
        <v>47.36</v>
      </c>
      <c r="M402" s="4"/>
      <c r="N402" s="10">
        <v>1</v>
      </c>
      <c r="O402" s="4" t="s">
        <v>26</v>
      </c>
      <c r="P402" s="11">
        <v>4</v>
      </c>
      <c r="Q402" s="9">
        <f>47.36</f>
        <v>47.36</v>
      </c>
    </row>
    <row r="403" spans="1:17" ht="45" customHeight="1" x14ac:dyDescent="0.25">
      <c r="A403" s="4" t="s">
        <v>20</v>
      </c>
      <c r="B403" s="5" t="s">
        <v>1158</v>
      </c>
      <c r="C403" s="4" t="s">
        <v>22</v>
      </c>
      <c r="D403" s="4" t="s">
        <v>1159</v>
      </c>
      <c r="E403" s="4" t="s">
        <v>1160</v>
      </c>
      <c r="F403" s="6">
        <f>9</f>
        <v>9</v>
      </c>
      <c r="G403" s="4" t="s">
        <v>25</v>
      </c>
      <c r="H403" s="7">
        <v>18.79</v>
      </c>
      <c r="I403" s="7">
        <v>18.78</v>
      </c>
      <c r="J403" s="8">
        <v>0.25</v>
      </c>
      <c r="K403" s="9">
        <f>23.48</f>
        <v>23.48</v>
      </c>
      <c r="L403" s="9">
        <f>211.32</f>
        <v>211.32</v>
      </c>
      <c r="M403" s="4"/>
      <c r="N403" s="10">
        <v>1</v>
      </c>
      <c r="O403" s="4" t="s">
        <v>26</v>
      </c>
      <c r="P403" s="11">
        <v>9</v>
      </c>
      <c r="Q403" s="9">
        <f>211.32</f>
        <v>211.32</v>
      </c>
    </row>
    <row r="404" spans="1:17" ht="45" customHeight="1" x14ac:dyDescent="0.25">
      <c r="A404" s="4" t="s">
        <v>20</v>
      </c>
      <c r="B404" s="5" t="s">
        <v>1161</v>
      </c>
      <c r="C404" s="4" t="s">
        <v>22</v>
      </c>
      <c r="D404" s="4" t="s">
        <v>1162</v>
      </c>
      <c r="E404" s="4" t="s">
        <v>1163</v>
      </c>
      <c r="F404" s="6">
        <f>3</f>
        <v>3</v>
      </c>
      <c r="G404" s="4" t="s">
        <v>25</v>
      </c>
      <c r="H404" s="7">
        <v>21.03</v>
      </c>
      <c r="I404" s="7">
        <v>21</v>
      </c>
      <c r="J404" s="8">
        <v>0.25</v>
      </c>
      <c r="K404" s="9">
        <f>26.25</f>
        <v>26.25</v>
      </c>
      <c r="L404" s="9">
        <f>78.75</f>
        <v>78.75</v>
      </c>
      <c r="M404" s="4"/>
      <c r="N404" s="10">
        <v>1</v>
      </c>
      <c r="O404" s="4" t="s">
        <v>26</v>
      </c>
      <c r="P404" s="11">
        <v>3</v>
      </c>
      <c r="Q404" s="9">
        <f>78.75</f>
        <v>78.75</v>
      </c>
    </row>
    <row r="405" spans="1:17" ht="45" customHeight="1" x14ac:dyDescent="0.25">
      <c r="A405" s="4" t="s">
        <v>20</v>
      </c>
      <c r="B405" s="5" t="s">
        <v>1164</v>
      </c>
      <c r="C405" s="4" t="s">
        <v>22</v>
      </c>
      <c r="D405" s="4" t="s">
        <v>1165</v>
      </c>
      <c r="E405" s="4" t="s">
        <v>1166</v>
      </c>
      <c r="F405" s="6">
        <f>6</f>
        <v>6</v>
      </c>
      <c r="G405" s="4" t="s">
        <v>25</v>
      </c>
      <c r="H405" s="7">
        <v>19.850000000000001</v>
      </c>
      <c r="I405" s="7">
        <v>19.82</v>
      </c>
      <c r="J405" s="8">
        <v>0.25</v>
      </c>
      <c r="K405" s="9">
        <f>24.78</f>
        <v>24.78</v>
      </c>
      <c r="L405" s="9">
        <f>148.68</f>
        <v>148.68</v>
      </c>
      <c r="M405" s="4"/>
      <c r="N405" s="10">
        <v>1</v>
      </c>
      <c r="O405" s="4" t="s">
        <v>26</v>
      </c>
      <c r="P405" s="11">
        <v>6</v>
      </c>
      <c r="Q405" s="9">
        <f>148.68</f>
        <v>148.68</v>
      </c>
    </row>
    <row r="406" spans="1:17" ht="45" customHeight="1" x14ac:dyDescent="0.25">
      <c r="A406" s="4" t="s">
        <v>20</v>
      </c>
      <c r="B406" s="5" t="s">
        <v>1167</v>
      </c>
      <c r="C406" s="4" t="s">
        <v>22</v>
      </c>
      <c r="D406" s="4" t="s">
        <v>1168</v>
      </c>
      <c r="E406" s="4" t="s">
        <v>1169</v>
      </c>
      <c r="F406" s="6">
        <f>2</f>
        <v>2</v>
      </c>
      <c r="G406" s="4" t="s">
        <v>25</v>
      </c>
      <c r="H406" s="7">
        <v>309.27999999999997</v>
      </c>
      <c r="I406" s="7">
        <v>309.25</v>
      </c>
      <c r="J406" s="8">
        <v>0.25</v>
      </c>
      <c r="K406" s="9">
        <f>386.56</f>
        <v>386.56</v>
      </c>
      <c r="L406" s="9">
        <f>773.12</f>
        <v>773.12</v>
      </c>
      <c r="M406" s="4"/>
      <c r="N406" s="10">
        <v>1</v>
      </c>
      <c r="O406" s="4" t="s">
        <v>26</v>
      </c>
      <c r="P406" s="11">
        <v>2</v>
      </c>
      <c r="Q406" s="9">
        <f>773.12</f>
        <v>773.12</v>
      </c>
    </row>
    <row r="407" spans="1:17" ht="45" customHeight="1" x14ac:dyDescent="0.25">
      <c r="A407" s="4" t="s">
        <v>20</v>
      </c>
      <c r="B407" s="5" t="s">
        <v>1170</v>
      </c>
      <c r="C407" s="4" t="s">
        <v>30</v>
      </c>
      <c r="D407" s="4" t="s">
        <v>1171</v>
      </c>
      <c r="E407" s="4" t="s">
        <v>1172</v>
      </c>
      <c r="F407" s="6">
        <f>1</f>
        <v>1</v>
      </c>
      <c r="G407" s="4" t="s">
        <v>25</v>
      </c>
      <c r="H407" s="7">
        <v>145.80000000000001</v>
      </c>
      <c r="I407" s="7">
        <v>87.69</v>
      </c>
      <c r="J407" s="8">
        <v>0.25</v>
      </c>
      <c r="K407" s="9">
        <f>109.61</f>
        <v>109.61</v>
      </c>
      <c r="L407" s="9">
        <f>109.61</f>
        <v>109.61</v>
      </c>
      <c r="M407" s="4"/>
      <c r="N407" s="10">
        <v>1</v>
      </c>
      <c r="O407" s="4" t="s">
        <v>26</v>
      </c>
      <c r="P407" s="11">
        <v>1</v>
      </c>
      <c r="Q407" s="9">
        <f>109.61</f>
        <v>109.61</v>
      </c>
    </row>
    <row r="408" spans="1:17" ht="45" customHeight="1" x14ac:dyDescent="0.25">
      <c r="A408" s="4" t="s">
        <v>20</v>
      </c>
      <c r="B408" s="5" t="s">
        <v>1173</v>
      </c>
      <c r="C408" s="4" t="s">
        <v>30</v>
      </c>
      <c r="D408" s="4" t="s">
        <v>1171</v>
      </c>
      <c r="E408" s="4" t="s">
        <v>1172</v>
      </c>
      <c r="F408" s="6">
        <f>1</f>
        <v>1</v>
      </c>
      <c r="G408" s="4" t="s">
        <v>25</v>
      </c>
      <c r="H408" s="7">
        <v>145.80000000000001</v>
      </c>
      <c r="I408" s="7">
        <v>119.34</v>
      </c>
      <c r="J408" s="8">
        <v>0.25</v>
      </c>
      <c r="K408" s="9">
        <f>149.18</f>
        <v>149.18</v>
      </c>
      <c r="L408" s="9">
        <f>149.18</f>
        <v>149.18</v>
      </c>
      <c r="M408" s="4"/>
      <c r="N408" s="10">
        <v>1</v>
      </c>
      <c r="O408" s="4" t="s">
        <v>26</v>
      </c>
      <c r="P408" s="11">
        <v>1</v>
      </c>
      <c r="Q408" s="9">
        <f>149.18</f>
        <v>149.18</v>
      </c>
    </row>
    <row r="409" spans="1:17" ht="45" customHeight="1" x14ac:dyDescent="0.25">
      <c r="A409" s="4" t="s">
        <v>20</v>
      </c>
      <c r="B409" s="5" t="s">
        <v>1174</v>
      </c>
      <c r="C409" s="4" t="s">
        <v>22</v>
      </c>
      <c r="D409" s="4" t="s">
        <v>1175</v>
      </c>
      <c r="E409" s="4" t="s">
        <v>1176</v>
      </c>
      <c r="F409" s="6">
        <f>3</f>
        <v>3</v>
      </c>
      <c r="G409" s="4" t="s">
        <v>25</v>
      </c>
      <c r="H409" s="7">
        <v>58.88</v>
      </c>
      <c r="I409" s="7">
        <v>58.85</v>
      </c>
      <c r="J409" s="8">
        <v>0.25</v>
      </c>
      <c r="K409" s="9">
        <f>73.56</f>
        <v>73.56</v>
      </c>
      <c r="L409" s="9">
        <f>220.68</f>
        <v>220.68</v>
      </c>
      <c r="M409" s="4"/>
      <c r="N409" s="10">
        <v>1</v>
      </c>
      <c r="O409" s="4" t="s">
        <v>26</v>
      </c>
      <c r="P409" s="11">
        <v>3</v>
      </c>
      <c r="Q409" s="9">
        <f>220.68</f>
        <v>220.68</v>
      </c>
    </row>
    <row r="410" spans="1:17" ht="45" customHeight="1" x14ac:dyDescent="0.25">
      <c r="A410" s="4" t="s">
        <v>20</v>
      </c>
      <c r="B410" s="5" t="s">
        <v>1177</v>
      </c>
      <c r="C410" s="4" t="s">
        <v>30</v>
      </c>
      <c r="D410" s="4" t="s">
        <v>1178</v>
      </c>
      <c r="E410" s="4" t="s">
        <v>1179</v>
      </c>
      <c r="F410" s="6">
        <f>1</f>
        <v>1</v>
      </c>
      <c r="G410" s="4" t="s">
        <v>46</v>
      </c>
      <c r="H410" s="7">
        <v>18.61</v>
      </c>
      <c r="I410" s="7">
        <v>18.61</v>
      </c>
      <c r="J410" s="8">
        <v>0.25</v>
      </c>
      <c r="K410" s="9">
        <f>23.26</f>
        <v>23.26</v>
      </c>
      <c r="L410" s="9">
        <f>23.26</f>
        <v>23.26</v>
      </c>
      <c r="M410" s="4"/>
      <c r="N410" s="10">
        <v>1</v>
      </c>
      <c r="O410" s="4" t="s">
        <v>26</v>
      </c>
      <c r="P410" s="11">
        <v>1</v>
      </c>
      <c r="Q410" s="9">
        <f>23.26</f>
        <v>23.26</v>
      </c>
    </row>
    <row r="411" spans="1:17" ht="45" customHeight="1" x14ac:dyDescent="0.25">
      <c r="A411" s="4" t="s">
        <v>20</v>
      </c>
      <c r="B411" s="5" t="s">
        <v>1180</v>
      </c>
      <c r="C411" s="4" t="s">
        <v>30</v>
      </c>
      <c r="D411" s="4" t="s">
        <v>1181</v>
      </c>
      <c r="E411" s="4" t="s">
        <v>1182</v>
      </c>
      <c r="F411" s="6">
        <f>4</f>
        <v>4</v>
      </c>
      <c r="G411" s="4" t="s">
        <v>46</v>
      </c>
      <c r="H411" s="7">
        <v>26.3</v>
      </c>
      <c r="I411" s="7">
        <v>26.3</v>
      </c>
      <c r="J411" s="8">
        <v>0.25</v>
      </c>
      <c r="K411" s="9">
        <f>32.88</f>
        <v>32.880000000000003</v>
      </c>
      <c r="L411" s="9">
        <f>131.52</f>
        <v>131.52000000000001</v>
      </c>
      <c r="M411" s="4"/>
      <c r="N411" s="10">
        <v>1</v>
      </c>
      <c r="O411" s="4" t="s">
        <v>26</v>
      </c>
      <c r="P411" s="11">
        <v>4</v>
      </c>
      <c r="Q411" s="9">
        <f>131.52</f>
        <v>131.52000000000001</v>
      </c>
    </row>
    <row r="412" spans="1:17" ht="45" customHeight="1" x14ac:dyDescent="0.25">
      <c r="A412" s="4" t="s">
        <v>20</v>
      </c>
      <c r="B412" s="5" t="s">
        <v>1183</v>
      </c>
      <c r="C412" s="4" t="s">
        <v>30</v>
      </c>
      <c r="D412" s="4" t="s">
        <v>1184</v>
      </c>
      <c r="E412" s="4" t="s">
        <v>1185</v>
      </c>
      <c r="F412" s="6">
        <f>28</f>
        <v>28</v>
      </c>
      <c r="G412" s="4" t="s">
        <v>25</v>
      </c>
      <c r="H412" s="7">
        <v>18.79</v>
      </c>
      <c r="I412" s="7">
        <v>18.79</v>
      </c>
      <c r="J412" s="8">
        <v>0.25</v>
      </c>
      <c r="K412" s="9">
        <f>23.49</f>
        <v>23.49</v>
      </c>
      <c r="L412" s="9">
        <f>657.72</f>
        <v>657.72</v>
      </c>
      <c r="M412" s="4"/>
      <c r="N412" s="10">
        <v>1</v>
      </c>
      <c r="O412" s="4" t="s">
        <v>26</v>
      </c>
      <c r="P412" s="11">
        <v>28</v>
      </c>
      <c r="Q412" s="9">
        <f>657.72</f>
        <v>657.72</v>
      </c>
    </row>
    <row r="413" spans="1:17" ht="45" customHeight="1" x14ac:dyDescent="0.25">
      <c r="A413" s="4" t="s">
        <v>20</v>
      </c>
      <c r="B413" s="5" t="s">
        <v>1186</v>
      </c>
      <c r="C413" s="4" t="s">
        <v>22</v>
      </c>
      <c r="D413" s="4" t="s">
        <v>1187</v>
      </c>
      <c r="E413" s="4" t="s">
        <v>1188</v>
      </c>
      <c r="F413" s="6">
        <f>51</f>
        <v>51</v>
      </c>
      <c r="G413" s="4" t="s">
        <v>25</v>
      </c>
      <c r="H413" s="7">
        <v>42</v>
      </c>
      <c r="I413" s="7">
        <v>41.98</v>
      </c>
      <c r="J413" s="8">
        <v>0.25</v>
      </c>
      <c r="K413" s="9">
        <f>52.48</f>
        <v>52.48</v>
      </c>
      <c r="L413" s="9">
        <f>2676.48</f>
        <v>2676.48</v>
      </c>
      <c r="M413" s="4"/>
      <c r="N413" s="10">
        <v>1</v>
      </c>
      <c r="O413" s="4" t="s">
        <v>26</v>
      </c>
      <c r="P413" s="11">
        <v>51</v>
      </c>
      <c r="Q413" s="9">
        <f>2676.48</f>
        <v>2676.48</v>
      </c>
    </row>
    <row r="414" spans="1:17" ht="45" customHeight="1" x14ac:dyDescent="0.25">
      <c r="A414" s="4" t="s">
        <v>20</v>
      </c>
      <c r="B414" s="5" t="s">
        <v>1189</v>
      </c>
      <c r="C414" s="4" t="s">
        <v>22</v>
      </c>
      <c r="D414" s="4" t="s">
        <v>1190</v>
      </c>
      <c r="E414" s="4" t="s">
        <v>1191</v>
      </c>
      <c r="F414" s="6">
        <f>0.49</f>
        <v>0.49</v>
      </c>
      <c r="G414" s="4" t="s">
        <v>33</v>
      </c>
      <c r="H414" s="7">
        <v>69.180000000000007</v>
      </c>
      <c r="I414" s="7">
        <v>69.150000000000006</v>
      </c>
      <c r="J414" s="8">
        <v>0.25</v>
      </c>
      <c r="K414" s="9">
        <f>86.44</f>
        <v>86.44</v>
      </c>
      <c r="L414" s="9">
        <f>42.36</f>
        <v>42.36</v>
      </c>
      <c r="M414" s="4"/>
      <c r="N414" s="10">
        <v>1</v>
      </c>
      <c r="O414" s="4" t="s">
        <v>26</v>
      </c>
      <c r="P414" s="11">
        <v>0.49</v>
      </c>
      <c r="Q414" s="9">
        <f>42.36</f>
        <v>42.36</v>
      </c>
    </row>
    <row r="415" spans="1:17" ht="45" customHeight="1" x14ac:dyDescent="0.25">
      <c r="A415" s="4" t="s">
        <v>20</v>
      </c>
      <c r="B415" s="5" t="s">
        <v>1192</v>
      </c>
      <c r="C415" s="4" t="s">
        <v>22</v>
      </c>
      <c r="D415" s="4" t="s">
        <v>588</v>
      </c>
      <c r="E415" s="4" t="s">
        <v>589</v>
      </c>
      <c r="F415" s="6">
        <f>0.51</f>
        <v>0.51</v>
      </c>
      <c r="G415" s="4" t="s">
        <v>33</v>
      </c>
      <c r="H415" s="7">
        <v>69.180000000000007</v>
      </c>
      <c r="I415" s="7">
        <v>69.150000000000006</v>
      </c>
      <c r="J415" s="8">
        <v>0.25</v>
      </c>
      <c r="K415" s="9">
        <f>86.44</f>
        <v>86.44</v>
      </c>
      <c r="L415" s="9">
        <f>44.08</f>
        <v>44.08</v>
      </c>
      <c r="M415" s="4"/>
      <c r="N415" s="10">
        <v>1</v>
      </c>
      <c r="O415" s="4" t="s">
        <v>26</v>
      </c>
      <c r="P415" s="11">
        <v>0.51</v>
      </c>
      <c r="Q415" s="9">
        <f>44.08</f>
        <v>44.08</v>
      </c>
    </row>
    <row r="416" spans="1:17" ht="45" customHeight="1" x14ac:dyDescent="0.25">
      <c r="A416" s="4" t="s">
        <v>17</v>
      </c>
      <c r="B416" s="5" t="s">
        <v>1193</v>
      </c>
      <c r="C416" s="4"/>
      <c r="D416" s="4"/>
      <c r="E416" s="4" t="s">
        <v>1194</v>
      </c>
      <c r="F416" s="6"/>
      <c r="G416" s="4"/>
      <c r="H416" s="7"/>
      <c r="I416" s="7"/>
      <c r="J416" s="8"/>
      <c r="K416" s="9"/>
      <c r="L416" s="9">
        <f>216630.94</f>
        <v>216630.94</v>
      </c>
      <c r="M416" s="4"/>
      <c r="N416" s="10"/>
      <c r="O416" s="4"/>
      <c r="P416" s="11"/>
      <c r="Q416" s="9"/>
    </row>
    <row r="417" spans="1:17" ht="45" customHeight="1" x14ac:dyDescent="0.25">
      <c r="A417" s="4" t="s">
        <v>20</v>
      </c>
      <c r="B417" s="5" t="s">
        <v>1195</v>
      </c>
      <c r="C417" s="4" t="s">
        <v>22</v>
      </c>
      <c r="D417" s="4" t="s">
        <v>1196</v>
      </c>
      <c r="E417" s="4" t="s">
        <v>1197</v>
      </c>
      <c r="F417" s="6">
        <f>4</f>
        <v>4</v>
      </c>
      <c r="G417" s="4" t="s">
        <v>25</v>
      </c>
      <c r="H417" s="7">
        <v>5.44</v>
      </c>
      <c r="I417" s="7">
        <v>5.43</v>
      </c>
      <c r="J417" s="8">
        <v>0.25</v>
      </c>
      <c r="K417" s="9">
        <f>6.79</f>
        <v>6.79</v>
      </c>
      <c r="L417" s="9">
        <f>27.16</f>
        <v>27.16</v>
      </c>
      <c r="M417" s="4"/>
      <c r="N417" s="10">
        <v>1</v>
      </c>
      <c r="O417" s="4" t="s">
        <v>26</v>
      </c>
      <c r="P417" s="11">
        <v>4</v>
      </c>
      <c r="Q417" s="9">
        <f>27.16</f>
        <v>27.16</v>
      </c>
    </row>
    <row r="418" spans="1:17" ht="45" customHeight="1" x14ac:dyDescent="0.25">
      <c r="A418" s="4" t="s">
        <v>20</v>
      </c>
      <c r="B418" s="5" t="s">
        <v>1198</v>
      </c>
      <c r="C418" s="4" t="s">
        <v>22</v>
      </c>
      <c r="D418" s="4" t="s">
        <v>1199</v>
      </c>
      <c r="E418" s="4" t="s">
        <v>1200</v>
      </c>
      <c r="F418" s="6">
        <f>4</f>
        <v>4</v>
      </c>
      <c r="G418" s="4" t="s">
        <v>25</v>
      </c>
      <c r="H418" s="7">
        <v>2.02</v>
      </c>
      <c r="I418" s="7">
        <v>2</v>
      </c>
      <c r="J418" s="8">
        <v>0.25</v>
      </c>
      <c r="K418" s="9">
        <f>2.5</f>
        <v>2.5</v>
      </c>
      <c r="L418" s="9">
        <f>10</f>
        <v>10</v>
      </c>
      <c r="M418" s="4"/>
      <c r="N418" s="10">
        <v>1</v>
      </c>
      <c r="O418" s="4" t="s">
        <v>26</v>
      </c>
      <c r="P418" s="11">
        <v>4</v>
      </c>
      <c r="Q418" s="9">
        <f>10</f>
        <v>10</v>
      </c>
    </row>
    <row r="419" spans="1:17" ht="45" customHeight="1" x14ac:dyDescent="0.25">
      <c r="A419" s="4" t="s">
        <v>20</v>
      </c>
      <c r="B419" s="5" t="s">
        <v>1201</v>
      </c>
      <c r="C419" s="4" t="s">
        <v>30</v>
      </c>
      <c r="D419" s="4" t="s">
        <v>1202</v>
      </c>
      <c r="E419" s="4" t="s">
        <v>1203</v>
      </c>
      <c r="F419" s="6">
        <f>200</f>
        <v>200</v>
      </c>
      <c r="G419" s="4" t="s">
        <v>25</v>
      </c>
      <c r="H419" s="7">
        <v>20.58</v>
      </c>
      <c r="I419" s="7">
        <v>20.58</v>
      </c>
      <c r="J419" s="8">
        <v>0.25</v>
      </c>
      <c r="K419" s="9">
        <f>25.73</f>
        <v>25.73</v>
      </c>
      <c r="L419" s="9">
        <f>5146</f>
        <v>5146</v>
      </c>
      <c r="M419" s="4"/>
      <c r="N419" s="10">
        <v>1</v>
      </c>
      <c r="O419" s="4" t="s">
        <v>26</v>
      </c>
      <c r="P419" s="11">
        <v>200</v>
      </c>
      <c r="Q419" s="9">
        <f>5146</f>
        <v>5146</v>
      </c>
    </row>
    <row r="420" spans="1:17" ht="45" customHeight="1" x14ac:dyDescent="0.25">
      <c r="A420" s="4" t="s">
        <v>20</v>
      </c>
      <c r="B420" s="5" t="s">
        <v>1204</v>
      </c>
      <c r="C420" s="4" t="s">
        <v>22</v>
      </c>
      <c r="D420" s="4" t="s">
        <v>1205</v>
      </c>
      <c r="E420" s="4" t="s">
        <v>1206</v>
      </c>
      <c r="F420" s="6">
        <f>27</f>
        <v>27</v>
      </c>
      <c r="G420" s="4" t="s">
        <v>25</v>
      </c>
      <c r="H420" s="7">
        <v>20.420000000000002</v>
      </c>
      <c r="I420" s="7">
        <v>20.41</v>
      </c>
      <c r="J420" s="8">
        <v>0.25</v>
      </c>
      <c r="K420" s="9">
        <f>25.51</f>
        <v>25.51</v>
      </c>
      <c r="L420" s="9">
        <f>688.77</f>
        <v>688.77</v>
      </c>
      <c r="M420" s="4"/>
      <c r="N420" s="10">
        <v>1</v>
      </c>
      <c r="O420" s="4" t="s">
        <v>26</v>
      </c>
      <c r="P420" s="11">
        <v>27</v>
      </c>
      <c r="Q420" s="9">
        <f>688.77</f>
        <v>688.77</v>
      </c>
    </row>
    <row r="421" spans="1:17" ht="45" customHeight="1" x14ac:dyDescent="0.25">
      <c r="A421" s="4" t="s">
        <v>20</v>
      </c>
      <c r="B421" s="5" t="s">
        <v>1207</v>
      </c>
      <c r="C421" s="4" t="s">
        <v>22</v>
      </c>
      <c r="D421" s="4" t="s">
        <v>1208</v>
      </c>
      <c r="E421" s="4" t="s">
        <v>1209</v>
      </c>
      <c r="F421" s="6">
        <f>1</f>
        <v>1</v>
      </c>
      <c r="G421" s="4" t="s">
        <v>25</v>
      </c>
      <c r="H421" s="7">
        <v>21.24</v>
      </c>
      <c r="I421" s="7">
        <v>21.23</v>
      </c>
      <c r="J421" s="8">
        <v>0.25</v>
      </c>
      <c r="K421" s="9">
        <f>26.54</f>
        <v>26.54</v>
      </c>
      <c r="L421" s="9">
        <f>26.54</f>
        <v>26.54</v>
      </c>
      <c r="M421" s="4"/>
      <c r="N421" s="10">
        <v>1</v>
      </c>
      <c r="O421" s="4" t="s">
        <v>26</v>
      </c>
      <c r="P421" s="11">
        <v>1</v>
      </c>
      <c r="Q421" s="9">
        <f>26.54</f>
        <v>26.54</v>
      </c>
    </row>
    <row r="422" spans="1:17" ht="45" customHeight="1" x14ac:dyDescent="0.25">
      <c r="A422" s="4" t="s">
        <v>20</v>
      </c>
      <c r="B422" s="5" t="s">
        <v>1210</v>
      </c>
      <c r="C422" s="4" t="s">
        <v>30</v>
      </c>
      <c r="D422" s="4" t="s">
        <v>1211</v>
      </c>
      <c r="E422" s="4" t="s">
        <v>1212</v>
      </c>
      <c r="F422" s="6">
        <f>2</f>
        <v>2</v>
      </c>
      <c r="G422" s="4" t="s">
        <v>25</v>
      </c>
      <c r="H422" s="7">
        <v>21.68</v>
      </c>
      <c r="I422" s="7">
        <v>21.68</v>
      </c>
      <c r="J422" s="8">
        <v>0.25</v>
      </c>
      <c r="K422" s="9">
        <f>27.1</f>
        <v>27.1</v>
      </c>
      <c r="L422" s="9">
        <f>54.2</f>
        <v>54.2</v>
      </c>
      <c r="M422" s="4"/>
      <c r="N422" s="10">
        <v>1</v>
      </c>
      <c r="O422" s="4" t="s">
        <v>26</v>
      </c>
      <c r="P422" s="11">
        <v>2</v>
      </c>
      <c r="Q422" s="9">
        <f>54.2</f>
        <v>54.2</v>
      </c>
    </row>
    <row r="423" spans="1:17" ht="45" customHeight="1" x14ac:dyDescent="0.25">
      <c r="A423" s="4" t="s">
        <v>20</v>
      </c>
      <c r="B423" s="5" t="s">
        <v>1213</v>
      </c>
      <c r="C423" s="4" t="s">
        <v>30</v>
      </c>
      <c r="D423" s="4" t="s">
        <v>1214</v>
      </c>
      <c r="E423" s="4" t="s">
        <v>1215</v>
      </c>
      <c r="F423" s="6">
        <f>2</f>
        <v>2</v>
      </c>
      <c r="G423" s="4" t="s">
        <v>25</v>
      </c>
      <c r="H423" s="7">
        <v>11.38</v>
      </c>
      <c r="I423" s="7">
        <v>11.38</v>
      </c>
      <c r="J423" s="8">
        <v>0.25</v>
      </c>
      <c r="K423" s="9">
        <f>14.23</f>
        <v>14.23</v>
      </c>
      <c r="L423" s="9">
        <f>28.46</f>
        <v>28.46</v>
      </c>
      <c r="M423" s="4"/>
      <c r="N423" s="10">
        <v>1</v>
      </c>
      <c r="O423" s="4" t="s">
        <v>26</v>
      </c>
      <c r="P423" s="11">
        <v>2</v>
      </c>
      <c r="Q423" s="9">
        <f>28.46</f>
        <v>28.46</v>
      </c>
    </row>
    <row r="424" spans="1:17" ht="45" customHeight="1" x14ac:dyDescent="0.25">
      <c r="A424" s="4" t="s">
        <v>20</v>
      </c>
      <c r="B424" s="5" t="s">
        <v>1216</v>
      </c>
      <c r="C424" s="4" t="s">
        <v>30</v>
      </c>
      <c r="D424" s="4" t="s">
        <v>1217</v>
      </c>
      <c r="E424" s="4" t="s">
        <v>1218</v>
      </c>
      <c r="F424" s="6">
        <f>8</f>
        <v>8</v>
      </c>
      <c r="G424" s="4" t="s">
        <v>25</v>
      </c>
      <c r="H424" s="7">
        <v>8.06</v>
      </c>
      <c r="I424" s="7">
        <v>8.06</v>
      </c>
      <c r="J424" s="8">
        <v>0.25</v>
      </c>
      <c r="K424" s="9">
        <f>10.08</f>
        <v>10.08</v>
      </c>
      <c r="L424" s="9">
        <f>80.64</f>
        <v>80.64</v>
      </c>
      <c r="M424" s="4"/>
      <c r="N424" s="10">
        <v>1</v>
      </c>
      <c r="O424" s="4" t="s">
        <v>26</v>
      </c>
      <c r="P424" s="11">
        <v>8</v>
      </c>
      <c r="Q424" s="9">
        <f>80.64</f>
        <v>80.64</v>
      </c>
    </row>
    <row r="425" spans="1:17" ht="45" customHeight="1" x14ac:dyDescent="0.25">
      <c r="A425" s="4" t="s">
        <v>20</v>
      </c>
      <c r="B425" s="5" t="s">
        <v>1219</v>
      </c>
      <c r="C425" s="4" t="s">
        <v>30</v>
      </c>
      <c r="D425" s="4" t="s">
        <v>1220</v>
      </c>
      <c r="E425" s="4" t="s">
        <v>1221</v>
      </c>
      <c r="F425" s="6">
        <f>8</f>
        <v>8</v>
      </c>
      <c r="G425" s="4" t="s">
        <v>25</v>
      </c>
      <c r="H425" s="7">
        <v>17.43</v>
      </c>
      <c r="I425" s="7">
        <v>17.43</v>
      </c>
      <c r="J425" s="8">
        <v>0.25</v>
      </c>
      <c r="K425" s="9">
        <f>21.79</f>
        <v>21.79</v>
      </c>
      <c r="L425" s="9">
        <f>174.32</f>
        <v>174.32</v>
      </c>
      <c r="M425" s="4"/>
      <c r="N425" s="10">
        <v>1</v>
      </c>
      <c r="O425" s="4" t="s">
        <v>26</v>
      </c>
      <c r="P425" s="11">
        <v>8</v>
      </c>
      <c r="Q425" s="9">
        <f>174.32</f>
        <v>174.32</v>
      </c>
    </row>
    <row r="426" spans="1:17" ht="45" customHeight="1" x14ac:dyDescent="0.25">
      <c r="A426" s="4" t="s">
        <v>20</v>
      </c>
      <c r="B426" s="5" t="s">
        <v>1222</v>
      </c>
      <c r="C426" s="4" t="s">
        <v>22</v>
      </c>
      <c r="D426" s="4" t="s">
        <v>1199</v>
      </c>
      <c r="E426" s="4" t="s">
        <v>1200</v>
      </c>
      <c r="F426" s="6">
        <f>2307</f>
        <v>2307</v>
      </c>
      <c r="G426" s="4" t="s">
        <v>25</v>
      </c>
      <c r="H426" s="7">
        <v>2.02</v>
      </c>
      <c r="I426" s="7">
        <v>2</v>
      </c>
      <c r="J426" s="8">
        <v>0.25</v>
      </c>
      <c r="K426" s="9">
        <f>2.5</f>
        <v>2.5</v>
      </c>
      <c r="L426" s="9">
        <f>5767.5</f>
        <v>5767.5</v>
      </c>
      <c r="M426" s="4"/>
      <c r="N426" s="10">
        <v>1</v>
      </c>
      <c r="O426" s="4" t="s">
        <v>26</v>
      </c>
      <c r="P426" s="11">
        <v>2307</v>
      </c>
      <c r="Q426" s="9">
        <f>5767.5</f>
        <v>5767.5</v>
      </c>
    </row>
    <row r="427" spans="1:17" ht="45" customHeight="1" x14ac:dyDescent="0.25">
      <c r="A427" s="4" t="s">
        <v>20</v>
      </c>
      <c r="B427" s="5" t="s">
        <v>1223</v>
      </c>
      <c r="C427" s="4" t="s">
        <v>22</v>
      </c>
      <c r="D427" s="4" t="s">
        <v>1224</v>
      </c>
      <c r="E427" s="4" t="s">
        <v>1225</v>
      </c>
      <c r="F427" s="6">
        <f>226</f>
        <v>226</v>
      </c>
      <c r="G427" s="4" t="s">
        <v>25</v>
      </c>
      <c r="H427" s="7">
        <v>1.47</v>
      </c>
      <c r="I427" s="7">
        <v>1.45</v>
      </c>
      <c r="J427" s="8">
        <v>0.25</v>
      </c>
      <c r="K427" s="9">
        <f>1.81</f>
        <v>1.81</v>
      </c>
      <c r="L427" s="9">
        <f>409.06</f>
        <v>409.06</v>
      </c>
      <c r="M427" s="4"/>
      <c r="N427" s="10">
        <v>1</v>
      </c>
      <c r="O427" s="4" t="s">
        <v>26</v>
      </c>
      <c r="P427" s="11">
        <v>226</v>
      </c>
      <c r="Q427" s="9">
        <f>409.06</f>
        <v>409.06</v>
      </c>
    </row>
    <row r="428" spans="1:17" ht="45" customHeight="1" x14ac:dyDescent="0.25">
      <c r="A428" s="4" t="s">
        <v>20</v>
      </c>
      <c r="B428" s="5" t="s">
        <v>1226</v>
      </c>
      <c r="C428" s="4" t="s">
        <v>22</v>
      </c>
      <c r="D428" s="4" t="s">
        <v>1227</v>
      </c>
      <c r="E428" s="4" t="s">
        <v>1228</v>
      </c>
      <c r="F428" s="6">
        <f>1517</f>
        <v>1517</v>
      </c>
      <c r="G428" s="4" t="s">
        <v>25</v>
      </c>
      <c r="H428" s="7">
        <v>0.77</v>
      </c>
      <c r="I428" s="7">
        <v>0.75</v>
      </c>
      <c r="J428" s="8">
        <v>0.25</v>
      </c>
      <c r="K428" s="9">
        <f>0.94</f>
        <v>0.94</v>
      </c>
      <c r="L428" s="9">
        <f>1425.98</f>
        <v>1425.98</v>
      </c>
      <c r="M428" s="4"/>
      <c r="N428" s="10">
        <v>1</v>
      </c>
      <c r="O428" s="4" t="s">
        <v>26</v>
      </c>
      <c r="P428" s="11">
        <v>1517</v>
      </c>
      <c r="Q428" s="9">
        <f>1425.98</f>
        <v>1425.98</v>
      </c>
    </row>
    <row r="429" spans="1:17" ht="45" customHeight="1" x14ac:dyDescent="0.25">
      <c r="A429" s="4" t="s">
        <v>20</v>
      </c>
      <c r="B429" s="5" t="s">
        <v>1229</v>
      </c>
      <c r="C429" s="4" t="s">
        <v>22</v>
      </c>
      <c r="D429" s="4" t="s">
        <v>1230</v>
      </c>
      <c r="E429" s="4" t="s">
        <v>1231</v>
      </c>
      <c r="F429" s="6">
        <f>1726</f>
        <v>1726</v>
      </c>
      <c r="G429" s="4" t="s">
        <v>25</v>
      </c>
      <c r="H429" s="7">
        <v>0.88</v>
      </c>
      <c r="I429" s="7">
        <v>0.86</v>
      </c>
      <c r="J429" s="8">
        <v>0.25</v>
      </c>
      <c r="K429" s="9">
        <f>1.08</f>
        <v>1.08</v>
      </c>
      <c r="L429" s="9">
        <f>1864.08</f>
        <v>1864.08</v>
      </c>
      <c r="M429" s="4"/>
      <c r="N429" s="10">
        <v>1</v>
      </c>
      <c r="O429" s="4" t="s">
        <v>26</v>
      </c>
      <c r="P429" s="11">
        <v>1726</v>
      </c>
      <c r="Q429" s="9">
        <f>1864.08</f>
        <v>1864.08</v>
      </c>
    </row>
    <row r="430" spans="1:17" ht="45" customHeight="1" x14ac:dyDescent="0.25">
      <c r="A430" s="4" t="s">
        <v>20</v>
      </c>
      <c r="B430" s="5" t="s">
        <v>1232</v>
      </c>
      <c r="C430" s="4" t="s">
        <v>30</v>
      </c>
      <c r="D430" s="4" t="s">
        <v>1233</v>
      </c>
      <c r="E430" s="4" t="s">
        <v>1234</v>
      </c>
      <c r="F430" s="6">
        <f>4</f>
        <v>4</v>
      </c>
      <c r="G430" s="4" t="s">
        <v>46</v>
      </c>
      <c r="H430" s="7">
        <v>26.72</v>
      </c>
      <c r="I430" s="7">
        <v>26.72</v>
      </c>
      <c r="J430" s="8">
        <v>0.25</v>
      </c>
      <c r="K430" s="9">
        <f>33.4</f>
        <v>33.4</v>
      </c>
      <c r="L430" s="9">
        <f>133.6</f>
        <v>133.6</v>
      </c>
      <c r="M430" s="4"/>
      <c r="N430" s="10">
        <v>1</v>
      </c>
      <c r="O430" s="4" t="s">
        <v>26</v>
      </c>
      <c r="P430" s="11">
        <v>4</v>
      </c>
      <c r="Q430" s="9">
        <f>133.6</f>
        <v>133.6</v>
      </c>
    </row>
    <row r="431" spans="1:17" ht="45" customHeight="1" x14ac:dyDescent="0.25">
      <c r="A431" s="4" t="s">
        <v>20</v>
      </c>
      <c r="B431" s="5" t="s">
        <v>1235</v>
      </c>
      <c r="C431" s="4" t="s">
        <v>22</v>
      </c>
      <c r="D431" s="4" t="s">
        <v>1236</v>
      </c>
      <c r="E431" s="4" t="s">
        <v>1237</v>
      </c>
      <c r="F431" s="6">
        <f>618</f>
        <v>618</v>
      </c>
      <c r="G431" s="4" t="s">
        <v>107</v>
      </c>
      <c r="H431" s="7">
        <v>7.17</v>
      </c>
      <c r="I431" s="7">
        <v>7.16</v>
      </c>
      <c r="J431" s="8">
        <v>0.25</v>
      </c>
      <c r="K431" s="9">
        <f>8.95</f>
        <v>8.9499999999999993</v>
      </c>
      <c r="L431" s="9">
        <f>5531.1</f>
        <v>5531.1</v>
      </c>
      <c r="M431" s="4"/>
      <c r="N431" s="10">
        <v>1</v>
      </c>
      <c r="O431" s="4" t="s">
        <v>26</v>
      </c>
      <c r="P431" s="11">
        <v>618</v>
      </c>
      <c r="Q431" s="9">
        <f>5531.1</f>
        <v>5531.1</v>
      </c>
    </row>
    <row r="432" spans="1:17" ht="45" customHeight="1" x14ac:dyDescent="0.25">
      <c r="A432" s="4" t="s">
        <v>20</v>
      </c>
      <c r="B432" s="5" t="s">
        <v>1238</v>
      </c>
      <c r="C432" s="4" t="s">
        <v>30</v>
      </c>
      <c r="D432" s="4" t="s">
        <v>1239</v>
      </c>
      <c r="E432" s="4" t="s">
        <v>1240</v>
      </c>
      <c r="F432" s="6">
        <f>3</f>
        <v>3</v>
      </c>
      <c r="G432" s="4" t="s">
        <v>25</v>
      </c>
      <c r="H432" s="7">
        <v>14.85</v>
      </c>
      <c r="I432" s="7">
        <v>14.85</v>
      </c>
      <c r="J432" s="8">
        <v>0.25</v>
      </c>
      <c r="K432" s="9">
        <f>18.56</f>
        <v>18.559999999999999</v>
      </c>
      <c r="L432" s="9">
        <f>55.68</f>
        <v>55.68</v>
      </c>
      <c r="M432" s="4"/>
      <c r="N432" s="10">
        <v>1</v>
      </c>
      <c r="O432" s="4" t="s">
        <v>26</v>
      </c>
      <c r="P432" s="11">
        <v>3</v>
      </c>
      <c r="Q432" s="9">
        <f>55.68</f>
        <v>55.68</v>
      </c>
    </row>
    <row r="433" spans="1:17" ht="45" customHeight="1" x14ac:dyDescent="0.25">
      <c r="A433" s="4" t="s">
        <v>20</v>
      </c>
      <c r="B433" s="5" t="s">
        <v>1241</v>
      </c>
      <c r="C433" s="4" t="s">
        <v>22</v>
      </c>
      <c r="D433" s="4" t="s">
        <v>1242</v>
      </c>
      <c r="E433" s="4" t="s">
        <v>1243</v>
      </c>
      <c r="F433" s="6">
        <f>1</f>
        <v>1</v>
      </c>
      <c r="G433" s="4" t="s">
        <v>107</v>
      </c>
      <c r="H433" s="7">
        <v>81.84</v>
      </c>
      <c r="I433" s="7">
        <v>81.84</v>
      </c>
      <c r="J433" s="8">
        <v>0.25</v>
      </c>
      <c r="K433" s="9">
        <f>102.3</f>
        <v>102.3</v>
      </c>
      <c r="L433" s="9">
        <f>102.3</f>
        <v>102.3</v>
      </c>
      <c r="M433" s="4"/>
      <c r="N433" s="10">
        <v>1</v>
      </c>
      <c r="O433" s="4" t="s">
        <v>26</v>
      </c>
      <c r="P433" s="11">
        <v>1</v>
      </c>
      <c r="Q433" s="9">
        <f>102.3</f>
        <v>102.3</v>
      </c>
    </row>
    <row r="434" spans="1:17" ht="45" customHeight="1" x14ac:dyDescent="0.25">
      <c r="A434" s="4" t="s">
        <v>20</v>
      </c>
      <c r="B434" s="5" t="s">
        <v>1244</v>
      </c>
      <c r="C434" s="4" t="s">
        <v>30</v>
      </c>
      <c r="D434" s="4" t="s">
        <v>1245</v>
      </c>
      <c r="E434" s="4" t="s">
        <v>1246</v>
      </c>
      <c r="F434" s="6">
        <f>1</f>
        <v>1</v>
      </c>
      <c r="G434" s="4" t="s">
        <v>25</v>
      </c>
      <c r="H434" s="7">
        <v>63.56</v>
      </c>
      <c r="I434" s="7">
        <v>63.56</v>
      </c>
      <c r="J434" s="8">
        <v>0.25</v>
      </c>
      <c r="K434" s="9">
        <f>79.45</f>
        <v>79.45</v>
      </c>
      <c r="L434" s="9">
        <f>79.45</f>
        <v>79.45</v>
      </c>
      <c r="M434" s="4"/>
      <c r="N434" s="10">
        <v>1</v>
      </c>
      <c r="O434" s="4" t="s">
        <v>26</v>
      </c>
      <c r="P434" s="11">
        <v>1</v>
      </c>
      <c r="Q434" s="9">
        <f>79.45</f>
        <v>79.45</v>
      </c>
    </row>
    <row r="435" spans="1:17" ht="45" customHeight="1" x14ac:dyDescent="0.25">
      <c r="A435" s="4" t="s">
        <v>20</v>
      </c>
      <c r="B435" s="5" t="s">
        <v>1247</v>
      </c>
      <c r="C435" s="4" t="s">
        <v>22</v>
      </c>
      <c r="D435" s="4" t="s">
        <v>1248</v>
      </c>
      <c r="E435" s="4" t="s">
        <v>1249</v>
      </c>
      <c r="F435" s="6">
        <f>2.2</f>
        <v>2.2000000000000002</v>
      </c>
      <c r="G435" s="4" t="s">
        <v>46</v>
      </c>
      <c r="H435" s="7">
        <v>14.37</v>
      </c>
      <c r="I435" s="7">
        <v>14.37</v>
      </c>
      <c r="J435" s="8">
        <v>0.25</v>
      </c>
      <c r="K435" s="9">
        <f>17.96</f>
        <v>17.96</v>
      </c>
      <c r="L435" s="9">
        <f>39.51</f>
        <v>39.51</v>
      </c>
      <c r="M435" s="4"/>
      <c r="N435" s="10">
        <v>1</v>
      </c>
      <c r="O435" s="4" t="s">
        <v>26</v>
      </c>
      <c r="P435" s="11">
        <v>2.2000000000000002</v>
      </c>
      <c r="Q435" s="9">
        <f>39.51</f>
        <v>39.51</v>
      </c>
    </row>
    <row r="436" spans="1:17" ht="45" customHeight="1" x14ac:dyDescent="0.25">
      <c r="A436" s="4" t="s">
        <v>20</v>
      </c>
      <c r="B436" s="5" t="s">
        <v>1250</v>
      </c>
      <c r="C436" s="4" t="s">
        <v>22</v>
      </c>
      <c r="D436" s="4" t="s">
        <v>1251</v>
      </c>
      <c r="E436" s="4" t="s">
        <v>1252</v>
      </c>
      <c r="F436" s="6">
        <f>1</f>
        <v>1</v>
      </c>
      <c r="G436" s="4" t="s">
        <v>25</v>
      </c>
      <c r="H436" s="7">
        <v>68.849999999999994</v>
      </c>
      <c r="I436" s="7">
        <v>68.84</v>
      </c>
      <c r="J436" s="8">
        <v>0.25</v>
      </c>
      <c r="K436" s="9">
        <f>86.05</f>
        <v>86.05</v>
      </c>
      <c r="L436" s="9">
        <f>86.05</f>
        <v>86.05</v>
      </c>
      <c r="M436" s="4"/>
      <c r="N436" s="10">
        <v>1</v>
      </c>
      <c r="O436" s="4" t="s">
        <v>26</v>
      </c>
      <c r="P436" s="11">
        <v>1</v>
      </c>
      <c r="Q436" s="9">
        <f>86.05</f>
        <v>86.05</v>
      </c>
    </row>
    <row r="437" spans="1:17" ht="45" customHeight="1" x14ac:dyDescent="0.25">
      <c r="A437" s="4" t="s">
        <v>20</v>
      </c>
      <c r="B437" s="5" t="s">
        <v>1253</v>
      </c>
      <c r="C437" s="4" t="s">
        <v>22</v>
      </c>
      <c r="D437" s="4" t="s">
        <v>1254</v>
      </c>
      <c r="E437" s="4" t="s">
        <v>1255</v>
      </c>
      <c r="F437" s="6">
        <f>5</f>
        <v>5</v>
      </c>
      <c r="G437" s="4" t="s">
        <v>25</v>
      </c>
      <c r="H437" s="7">
        <v>31.82</v>
      </c>
      <c r="I437" s="7">
        <v>31.8</v>
      </c>
      <c r="J437" s="8">
        <v>0.25</v>
      </c>
      <c r="K437" s="9">
        <f>39.75</f>
        <v>39.75</v>
      </c>
      <c r="L437" s="9">
        <f>198.75</f>
        <v>198.75</v>
      </c>
      <c r="M437" s="4"/>
      <c r="N437" s="10">
        <v>1</v>
      </c>
      <c r="O437" s="4" t="s">
        <v>26</v>
      </c>
      <c r="P437" s="11">
        <v>5</v>
      </c>
      <c r="Q437" s="9">
        <f>198.75</f>
        <v>198.75</v>
      </c>
    </row>
    <row r="438" spans="1:17" ht="45" customHeight="1" x14ac:dyDescent="0.25">
      <c r="A438" s="4" t="s">
        <v>20</v>
      </c>
      <c r="B438" s="5" t="s">
        <v>1256</v>
      </c>
      <c r="C438" s="4" t="s">
        <v>22</v>
      </c>
      <c r="D438" s="4" t="s">
        <v>1257</v>
      </c>
      <c r="E438" s="4" t="s">
        <v>1258</v>
      </c>
      <c r="F438" s="6">
        <f>4</f>
        <v>4</v>
      </c>
      <c r="G438" s="4" t="s">
        <v>25</v>
      </c>
      <c r="H438" s="7">
        <v>25.53</v>
      </c>
      <c r="I438" s="7">
        <v>25.52</v>
      </c>
      <c r="J438" s="8">
        <v>0.25</v>
      </c>
      <c r="K438" s="9">
        <f>31.9</f>
        <v>31.9</v>
      </c>
      <c r="L438" s="9">
        <f>127.6</f>
        <v>127.6</v>
      </c>
      <c r="M438" s="4"/>
      <c r="N438" s="10">
        <v>1</v>
      </c>
      <c r="O438" s="4" t="s">
        <v>26</v>
      </c>
      <c r="P438" s="11">
        <v>4</v>
      </c>
      <c r="Q438" s="9">
        <f>127.6</f>
        <v>127.6</v>
      </c>
    </row>
    <row r="439" spans="1:17" ht="45" customHeight="1" x14ac:dyDescent="0.25">
      <c r="A439" s="4" t="s">
        <v>20</v>
      </c>
      <c r="B439" s="5" t="s">
        <v>1259</v>
      </c>
      <c r="C439" s="4" t="s">
        <v>30</v>
      </c>
      <c r="D439" s="4" t="s">
        <v>1260</v>
      </c>
      <c r="E439" s="4" t="s">
        <v>1261</v>
      </c>
      <c r="F439" s="6">
        <f>1</f>
        <v>1</v>
      </c>
      <c r="G439" s="4" t="s">
        <v>25</v>
      </c>
      <c r="H439" s="7">
        <v>153.97999999999999</v>
      </c>
      <c r="I439" s="7">
        <v>153.97999999999999</v>
      </c>
      <c r="J439" s="8">
        <v>0.25</v>
      </c>
      <c r="K439" s="9">
        <f>192.48</f>
        <v>192.48</v>
      </c>
      <c r="L439" s="9">
        <f>192.48</f>
        <v>192.48</v>
      </c>
      <c r="M439" s="4"/>
      <c r="N439" s="10">
        <v>1</v>
      </c>
      <c r="O439" s="4" t="s">
        <v>26</v>
      </c>
      <c r="P439" s="11">
        <v>1</v>
      </c>
      <c r="Q439" s="9">
        <f>192.48</f>
        <v>192.48</v>
      </c>
    </row>
    <row r="440" spans="1:17" ht="45" customHeight="1" x14ac:dyDescent="0.25">
      <c r="A440" s="4" t="s">
        <v>20</v>
      </c>
      <c r="B440" s="5" t="s">
        <v>1262</v>
      </c>
      <c r="C440" s="4" t="s">
        <v>30</v>
      </c>
      <c r="D440" s="4" t="s">
        <v>1263</v>
      </c>
      <c r="E440" s="4" t="s">
        <v>1264</v>
      </c>
      <c r="F440" s="6">
        <f>1</f>
        <v>1</v>
      </c>
      <c r="G440" s="4" t="s">
        <v>25</v>
      </c>
      <c r="H440" s="7">
        <v>7.39</v>
      </c>
      <c r="I440" s="7">
        <v>7.39</v>
      </c>
      <c r="J440" s="8">
        <v>0.25</v>
      </c>
      <c r="K440" s="9">
        <f>9.24</f>
        <v>9.24</v>
      </c>
      <c r="L440" s="9">
        <f>9.24</f>
        <v>9.24</v>
      </c>
      <c r="M440" s="4"/>
      <c r="N440" s="10">
        <v>1</v>
      </c>
      <c r="O440" s="4" t="s">
        <v>26</v>
      </c>
      <c r="P440" s="11">
        <v>1</v>
      </c>
      <c r="Q440" s="9">
        <f>9.24</f>
        <v>9.24</v>
      </c>
    </row>
    <row r="441" spans="1:17" ht="45" customHeight="1" x14ac:dyDescent="0.25">
      <c r="A441" s="4" t="s">
        <v>20</v>
      </c>
      <c r="B441" s="5" t="s">
        <v>1265</v>
      </c>
      <c r="C441" s="4" t="s">
        <v>22</v>
      </c>
      <c r="D441" s="4" t="s">
        <v>1266</v>
      </c>
      <c r="E441" s="4" t="s">
        <v>1267</v>
      </c>
      <c r="F441" s="6">
        <f>10</f>
        <v>10</v>
      </c>
      <c r="G441" s="4" t="s">
        <v>25</v>
      </c>
      <c r="H441" s="7">
        <v>0.75</v>
      </c>
      <c r="I441" s="7">
        <v>0.74</v>
      </c>
      <c r="J441" s="8">
        <v>0.25</v>
      </c>
      <c r="K441" s="9">
        <f>0.93</f>
        <v>0.93</v>
      </c>
      <c r="L441" s="9">
        <f>9.3</f>
        <v>9.3000000000000007</v>
      </c>
      <c r="M441" s="4"/>
      <c r="N441" s="10">
        <v>1</v>
      </c>
      <c r="O441" s="4" t="s">
        <v>26</v>
      </c>
      <c r="P441" s="11">
        <v>10</v>
      </c>
      <c r="Q441" s="9">
        <f>9.3</f>
        <v>9.3000000000000007</v>
      </c>
    </row>
    <row r="442" spans="1:17" ht="45" customHeight="1" x14ac:dyDescent="0.25">
      <c r="A442" s="4" t="s">
        <v>20</v>
      </c>
      <c r="B442" s="5" t="s">
        <v>1268</v>
      </c>
      <c r="C442" s="4" t="s">
        <v>22</v>
      </c>
      <c r="D442" s="4" t="s">
        <v>1269</v>
      </c>
      <c r="E442" s="4" t="s">
        <v>1270</v>
      </c>
      <c r="F442" s="6">
        <f>1</f>
        <v>1</v>
      </c>
      <c r="G442" s="4" t="s">
        <v>25</v>
      </c>
      <c r="H442" s="7">
        <v>33.86</v>
      </c>
      <c r="I442" s="7">
        <v>33.85</v>
      </c>
      <c r="J442" s="8">
        <v>0.25</v>
      </c>
      <c r="K442" s="9">
        <f>42.31</f>
        <v>42.31</v>
      </c>
      <c r="L442" s="9">
        <f>42.31</f>
        <v>42.31</v>
      </c>
      <c r="M442" s="4"/>
      <c r="N442" s="10">
        <v>1</v>
      </c>
      <c r="O442" s="4" t="s">
        <v>26</v>
      </c>
      <c r="P442" s="11">
        <v>1</v>
      </c>
      <c r="Q442" s="9">
        <f>42.31</f>
        <v>42.31</v>
      </c>
    </row>
    <row r="443" spans="1:17" ht="45" customHeight="1" x14ac:dyDescent="0.25">
      <c r="A443" s="4" t="s">
        <v>20</v>
      </c>
      <c r="B443" s="5" t="s">
        <v>1271</v>
      </c>
      <c r="C443" s="4" t="s">
        <v>30</v>
      </c>
      <c r="D443" s="4" t="s">
        <v>1272</v>
      </c>
      <c r="E443" s="4" t="s">
        <v>1273</v>
      </c>
      <c r="F443" s="6">
        <f>161.9</f>
        <v>161.9</v>
      </c>
      <c r="G443" s="4" t="s">
        <v>46</v>
      </c>
      <c r="H443" s="7">
        <v>58.11</v>
      </c>
      <c r="I443" s="7">
        <v>58.11</v>
      </c>
      <c r="J443" s="8">
        <v>0.25</v>
      </c>
      <c r="K443" s="9">
        <f>72.64</f>
        <v>72.64</v>
      </c>
      <c r="L443" s="9">
        <f>11760.42</f>
        <v>11760.42</v>
      </c>
      <c r="M443" s="4"/>
      <c r="N443" s="10">
        <v>1</v>
      </c>
      <c r="O443" s="4" t="s">
        <v>26</v>
      </c>
      <c r="P443" s="11">
        <v>161.9</v>
      </c>
      <c r="Q443" s="9">
        <f>11760.42</f>
        <v>11760.42</v>
      </c>
    </row>
    <row r="444" spans="1:17" ht="45" customHeight="1" x14ac:dyDescent="0.25">
      <c r="A444" s="4" t="s">
        <v>20</v>
      </c>
      <c r="B444" s="5" t="s">
        <v>1274</v>
      </c>
      <c r="C444" s="4" t="s">
        <v>30</v>
      </c>
      <c r="D444" s="4" t="s">
        <v>1275</v>
      </c>
      <c r="E444" s="4" t="s">
        <v>1276</v>
      </c>
      <c r="F444" s="6">
        <f>8.2</f>
        <v>8.1999999999999993</v>
      </c>
      <c r="G444" s="4" t="s">
        <v>46</v>
      </c>
      <c r="H444" s="7">
        <v>40.1</v>
      </c>
      <c r="I444" s="7">
        <v>40.1</v>
      </c>
      <c r="J444" s="8">
        <v>0.25</v>
      </c>
      <c r="K444" s="9">
        <f>50.13</f>
        <v>50.13</v>
      </c>
      <c r="L444" s="9">
        <f>411.07</f>
        <v>411.07</v>
      </c>
      <c r="M444" s="4"/>
      <c r="N444" s="10">
        <v>1</v>
      </c>
      <c r="O444" s="4" t="s">
        <v>26</v>
      </c>
      <c r="P444" s="11">
        <v>8.1999999999999993</v>
      </c>
      <c r="Q444" s="9">
        <f>411.07</f>
        <v>411.07</v>
      </c>
    </row>
    <row r="445" spans="1:17" ht="45" customHeight="1" x14ac:dyDescent="0.25">
      <c r="A445" s="4" t="s">
        <v>20</v>
      </c>
      <c r="B445" s="5" t="s">
        <v>1277</v>
      </c>
      <c r="C445" s="4" t="s">
        <v>30</v>
      </c>
      <c r="D445" s="4" t="s">
        <v>1278</v>
      </c>
      <c r="E445" s="4" t="s">
        <v>1279</v>
      </c>
      <c r="F445" s="6">
        <f>40.5</f>
        <v>40.5</v>
      </c>
      <c r="G445" s="4" t="s">
        <v>46</v>
      </c>
      <c r="H445" s="7">
        <v>29.06</v>
      </c>
      <c r="I445" s="7">
        <v>29.06</v>
      </c>
      <c r="J445" s="8">
        <v>0.25</v>
      </c>
      <c r="K445" s="9">
        <f>36.33</f>
        <v>36.33</v>
      </c>
      <c r="L445" s="9">
        <f>1471.37</f>
        <v>1471.37</v>
      </c>
      <c r="M445" s="4"/>
      <c r="N445" s="10">
        <v>1</v>
      </c>
      <c r="O445" s="4" t="s">
        <v>26</v>
      </c>
      <c r="P445" s="11">
        <v>40.5</v>
      </c>
      <c r="Q445" s="9">
        <f>1471.37</f>
        <v>1471.37</v>
      </c>
    </row>
    <row r="446" spans="1:17" ht="45" customHeight="1" x14ac:dyDescent="0.25">
      <c r="A446" s="4" t="s">
        <v>20</v>
      </c>
      <c r="B446" s="5" t="s">
        <v>1280</v>
      </c>
      <c r="C446" s="4" t="s">
        <v>30</v>
      </c>
      <c r="D446" s="4" t="s">
        <v>1281</v>
      </c>
      <c r="E446" s="4" t="s">
        <v>1282</v>
      </c>
      <c r="F446" s="6">
        <f>278</f>
        <v>278</v>
      </c>
      <c r="G446" s="4" t="s">
        <v>46</v>
      </c>
      <c r="H446" s="7">
        <v>17.11</v>
      </c>
      <c r="I446" s="7">
        <v>17.11</v>
      </c>
      <c r="J446" s="8">
        <v>0.25</v>
      </c>
      <c r="K446" s="9">
        <f>21.39</f>
        <v>21.39</v>
      </c>
      <c r="L446" s="9">
        <f>5946.42</f>
        <v>5946.42</v>
      </c>
      <c r="M446" s="4"/>
      <c r="N446" s="10">
        <v>1</v>
      </c>
      <c r="O446" s="4" t="s">
        <v>26</v>
      </c>
      <c r="P446" s="11">
        <v>278</v>
      </c>
      <c r="Q446" s="9">
        <f>5946.42</f>
        <v>5946.42</v>
      </c>
    </row>
    <row r="447" spans="1:17" ht="45" customHeight="1" x14ac:dyDescent="0.25">
      <c r="A447" s="4" t="s">
        <v>20</v>
      </c>
      <c r="B447" s="5" t="s">
        <v>1283</v>
      </c>
      <c r="C447" s="4" t="s">
        <v>30</v>
      </c>
      <c r="D447" s="4" t="s">
        <v>1084</v>
      </c>
      <c r="E447" s="4" t="s">
        <v>1085</v>
      </c>
      <c r="F447" s="6">
        <f>478.3</f>
        <v>478.3</v>
      </c>
      <c r="G447" s="4" t="s">
        <v>46</v>
      </c>
      <c r="H447" s="7">
        <v>3.21</v>
      </c>
      <c r="I447" s="7">
        <v>3.21</v>
      </c>
      <c r="J447" s="8">
        <v>0.25</v>
      </c>
      <c r="K447" s="9">
        <f>4.01</f>
        <v>4.01</v>
      </c>
      <c r="L447" s="9">
        <f>1917.98</f>
        <v>1917.98</v>
      </c>
      <c r="M447" s="4"/>
      <c r="N447" s="10">
        <v>1</v>
      </c>
      <c r="O447" s="4" t="s">
        <v>26</v>
      </c>
      <c r="P447" s="11">
        <v>478.3</v>
      </c>
      <c r="Q447" s="9">
        <f>1917.98</f>
        <v>1917.98</v>
      </c>
    </row>
    <row r="448" spans="1:17" ht="45" customHeight="1" x14ac:dyDescent="0.25">
      <c r="A448" s="4" t="s">
        <v>20</v>
      </c>
      <c r="B448" s="5" t="s">
        <v>1284</v>
      </c>
      <c r="C448" s="4" t="s">
        <v>30</v>
      </c>
      <c r="D448" s="4" t="s">
        <v>1285</v>
      </c>
      <c r="E448" s="4" t="s">
        <v>1286</v>
      </c>
      <c r="F448" s="6">
        <f>669.3</f>
        <v>669.3</v>
      </c>
      <c r="G448" s="4" t="s">
        <v>46</v>
      </c>
      <c r="H448" s="7">
        <v>17.73</v>
      </c>
      <c r="I448" s="7">
        <v>17.73</v>
      </c>
      <c r="J448" s="8">
        <v>0.25</v>
      </c>
      <c r="K448" s="9">
        <f>22.16</f>
        <v>22.16</v>
      </c>
      <c r="L448" s="9">
        <f>14831.69</f>
        <v>14831.69</v>
      </c>
      <c r="M448" s="4"/>
      <c r="N448" s="10">
        <v>1</v>
      </c>
      <c r="O448" s="4" t="s">
        <v>26</v>
      </c>
      <c r="P448" s="11">
        <v>669.3</v>
      </c>
      <c r="Q448" s="9">
        <f>14831.69</f>
        <v>14831.69</v>
      </c>
    </row>
    <row r="449" spans="1:17" ht="45" customHeight="1" x14ac:dyDescent="0.25">
      <c r="A449" s="4" t="s">
        <v>20</v>
      </c>
      <c r="B449" s="5" t="s">
        <v>1287</v>
      </c>
      <c r="C449" s="4" t="s">
        <v>30</v>
      </c>
      <c r="D449" s="4" t="s">
        <v>1087</v>
      </c>
      <c r="E449" s="4" t="s">
        <v>1088</v>
      </c>
      <c r="F449" s="6">
        <f>4072.6</f>
        <v>4072.6</v>
      </c>
      <c r="G449" s="4" t="s">
        <v>46</v>
      </c>
      <c r="H449" s="7">
        <v>4.62</v>
      </c>
      <c r="I449" s="7">
        <v>4.62</v>
      </c>
      <c r="J449" s="8">
        <v>0.25</v>
      </c>
      <c r="K449" s="9">
        <f>5.78</f>
        <v>5.78</v>
      </c>
      <c r="L449" s="9">
        <f>23539.63</f>
        <v>23539.63</v>
      </c>
      <c r="M449" s="4"/>
      <c r="N449" s="10">
        <v>1</v>
      </c>
      <c r="O449" s="4" t="s">
        <v>26</v>
      </c>
      <c r="P449" s="11">
        <v>4072.6</v>
      </c>
      <c r="Q449" s="9">
        <f>23539.63</f>
        <v>23539.63</v>
      </c>
    </row>
    <row r="450" spans="1:17" ht="45" customHeight="1" x14ac:dyDescent="0.25">
      <c r="A450" s="4" t="s">
        <v>20</v>
      </c>
      <c r="B450" s="5" t="s">
        <v>1288</v>
      </c>
      <c r="C450" s="4" t="s">
        <v>30</v>
      </c>
      <c r="D450" s="4" t="s">
        <v>1289</v>
      </c>
      <c r="E450" s="4" t="s">
        <v>1290</v>
      </c>
      <c r="F450" s="6">
        <f>873.7</f>
        <v>873.7</v>
      </c>
      <c r="G450" s="4" t="s">
        <v>46</v>
      </c>
      <c r="H450" s="7">
        <v>7.13</v>
      </c>
      <c r="I450" s="7">
        <v>7.13</v>
      </c>
      <c r="J450" s="8">
        <v>0.25</v>
      </c>
      <c r="K450" s="9">
        <f>8.91</f>
        <v>8.91</v>
      </c>
      <c r="L450" s="9">
        <f>7784.67</f>
        <v>7784.67</v>
      </c>
      <c r="M450" s="4"/>
      <c r="N450" s="10">
        <v>1</v>
      </c>
      <c r="O450" s="4" t="s">
        <v>26</v>
      </c>
      <c r="P450" s="11">
        <v>873.7</v>
      </c>
      <c r="Q450" s="9">
        <f>7784.67</f>
        <v>7784.67</v>
      </c>
    </row>
    <row r="451" spans="1:17" ht="45" customHeight="1" x14ac:dyDescent="0.25">
      <c r="A451" s="4" t="s">
        <v>20</v>
      </c>
      <c r="B451" s="5" t="s">
        <v>1291</v>
      </c>
      <c r="C451" s="4" t="s">
        <v>30</v>
      </c>
      <c r="D451" s="4" t="s">
        <v>1292</v>
      </c>
      <c r="E451" s="4" t="s">
        <v>1293</v>
      </c>
      <c r="F451" s="6">
        <f>83</f>
        <v>83</v>
      </c>
      <c r="G451" s="4" t="s">
        <v>46</v>
      </c>
      <c r="H451" s="7">
        <v>9.9499999999999993</v>
      </c>
      <c r="I451" s="7">
        <v>9.9499999999999993</v>
      </c>
      <c r="J451" s="8">
        <v>0.25</v>
      </c>
      <c r="K451" s="9">
        <f>12.44</f>
        <v>12.44</v>
      </c>
      <c r="L451" s="9">
        <f>1032.52</f>
        <v>1032.52</v>
      </c>
      <c r="M451" s="4"/>
      <c r="N451" s="10">
        <v>1</v>
      </c>
      <c r="O451" s="4" t="s">
        <v>26</v>
      </c>
      <c r="P451" s="11">
        <v>83</v>
      </c>
      <c r="Q451" s="9">
        <f>1032.52</f>
        <v>1032.52</v>
      </c>
    </row>
    <row r="452" spans="1:17" ht="45" customHeight="1" x14ac:dyDescent="0.25">
      <c r="A452" s="4" t="s">
        <v>20</v>
      </c>
      <c r="B452" s="5" t="s">
        <v>1294</v>
      </c>
      <c r="C452" s="4" t="s">
        <v>30</v>
      </c>
      <c r="D452" s="4" t="s">
        <v>1295</v>
      </c>
      <c r="E452" s="4" t="s">
        <v>1296</v>
      </c>
      <c r="F452" s="6">
        <f>184.8</f>
        <v>184.8</v>
      </c>
      <c r="G452" s="4" t="s">
        <v>46</v>
      </c>
      <c r="H452" s="7">
        <v>25.64</v>
      </c>
      <c r="I452" s="7">
        <v>25.64</v>
      </c>
      <c r="J452" s="8">
        <v>0.25</v>
      </c>
      <c r="K452" s="9">
        <f>32.05</f>
        <v>32.049999999999997</v>
      </c>
      <c r="L452" s="9">
        <f>5922.84</f>
        <v>5922.84</v>
      </c>
      <c r="M452" s="4"/>
      <c r="N452" s="10">
        <v>1</v>
      </c>
      <c r="O452" s="4" t="s">
        <v>26</v>
      </c>
      <c r="P452" s="11">
        <v>184.8</v>
      </c>
      <c r="Q452" s="9">
        <f>5922.84</f>
        <v>5922.84</v>
      </c>
    </row>
    <row r="453" spans="1:17" ht="45" customHeight="1" x14ac:dyDescent="0.25">
      <c r="A453" s="4" t="s">
        <v>20</v>
      </c>
      <c r="B453" s="5" t="s">
        <v>1297</v>
      </c>
      <c r="C453" s="4" t="s">
        <v>30</v>
      </c>
      <c r="D453" s="4" t="s">
        <v>1298</v>
      </c>
      <c r="E453" s="4" t="s">
        <v>1299</v>
      </c>
      <c r="F453" s="6">
        <f>9</f>
        <v>9</v>
      </c>
      <c r="G453" s="4" t="s">
        <v>25</v>
      </c>
      <c r="H453" s="7">
        <v>226.14</v>
      </c>
      <c r="I453" s="7">
        <v>226.14</v>
      </c>
      <c r="J453" s="8">
        <v>0.25</v>
      </c>
      <c r="K453" s="9">
        <f>282.68</f>
        <v>282.68</v>
      </c>
      <c r="L453" s="9">
        <f>2544.12</f>
        <v>2544.12</v>
      </c>
      <c r="M453" s="4"/>
      <c r="N453" s="10">
        <v>1</v>
      </c>
      <c r="O453" s="4" t="s">
        <v>26</v>
      </c>
      <c r="P453" s="11">
        <v>9</v>
      </c>
      <c r="Q453" s="9">
        <f>2544.12</f>
        <v>2544.12</v>
      </c>
    </row>
    <row r="454" spans="1:17" ht="45" customHeight="1" x14ac:dyDescent="0.25">
      <c r="A454" s="4" t="s">
        <v>20</v>
      </c>
      <c r="B454" s="5" t="s">
        <v>1300</v>
      </c>
      <c r="C454" s="4" t="s">
        <v>22</v>
      </c>
      <c r="D454" s="4" t="s">
        <v>1301</v>
      </c>
      <c r="E454" s="4" t="s">
        <v>1302</v>
      </c>
      <c r="F454" s="6">
        <f>18</f>
        <v>18</v>
      </c>
      <c r="G454" s="4" t="s">
        <v>25</v>
      </c>
      <c r="H454" s="7">
        <v>41.12</v>
      </c>
      <c r="I454" s="7">
        <v>41.1</v>
      </c>
      <c r="J454" s="8">
        <v>0.25</v>
      </c>
      <c r="K454" s="9">
        <f>51.38</f>
        <v>51.38</v>
      </c>
      <c r="L454" s="9">
        <f>924.84</f>
        <v>924.84</v>
      </c>
      <c r="M454" s="4"/>
      <c r="N454" s="10">
        <v>1</v>
      </c>
      <c r="O454" s="4" t="s">
        <v>26</v>
      </c>
      <c r="P454" s="11">
        <v>18</v>
      </c>
      <c r="Q454" s="9">
        <f>924.84</f>
        <v>924.84</v>
      </c>
    </row>
    <row r="455" spans="1:17" ht="45" customHeight="1" x14ac:dyDescent="0.25">
      <c r="A455" s="4" t="s">
        <v>20</v>
      </c>
      <c r="B455" s="5" t="s">
        <v>1303</v>
      </c>
      <c r="C455" s="4" t="s">
        <v>30</v>
      </c>
      <c r="D455" s="4" t="s">
        <v>1304</v>
      </c>
      <c r="E455" s="4" t="s">
        <v>1305</v>
      </c>
      <c r="F455" s="6">
        <f>9</f>
        <v>9</v>
      </c>
      <c r="G455" s="4" t="s">
        <v>25</v>
      </c>
      <c r="H455" s="7">
        <v>42.1</v>
      </c>
      <c r="I455" s="7">
        <v>42.1</v>
      </c>
      <c r="J455" s="8">
        <v>0.25</v>
      </c>
      <c r="K455" s="9">
        <f>52.63</f>
        <v>52.63</v>
      </c>
      <c r="L455" s="9">
        <f>473.67</f>
        <v>473.67</v>
      </c>
      <c r="M455" s="4"/>
      <c r="N455" s="10">
        <v>1</v>
      </c>
      <c r="O455" s="4" t="s">
        <v>26</v>
      </c>
      <c r="P455" s="11">
        <v>9</v>
      </c>
      <c r="Q455" s="9">
        <f>473.67</f>
        <v>473.67</v>
      </c>
    </row>
    <row r="456" spans="1:17" ht="45" customHeight="1" x14ac:dyDescent="0.25">
      <c r="A456" s="4" t="s">
        <v>20</v>
      </c>
      <c r="B456" s="5" t="s">
        <v>1306</v>
      </c>
      <c r="C456" s="4" t="s">
        <v>30</v>
      </c>
      <c r="D456" s="4" t="s">
        <v>1307</v>
      </c>
      <c r="E456" s="4" t="s">
        <v>1308</v>
      </c>
      <c r="F456" s="6">
        <f>17</f>
        <v>17</v>
      </c>
      <c r="G456" s="4" t="s">
        <v>25</v>
      </c>
      <c r="H456" s="7">
        <v>34.619999999999997</v>
      </c>
      <c r="I456" s="7">
        <v>34.619999999999997</v>
      </c>
      <c r="J456" s="8">
        <v>0.25</v>
      </c>
      <c r="K456" s="9">
        <f>43.28</f>
        <v>43.28</v>
      </c>
      <c r="L456" s="9">
        <f>735.76</f>
        <v>735.76</v>
      </c>
      <c r="M456" s="4"/>
      <c r="N456" s="10">
        <v>1</v>
      </c>
      <c r="O456" s="4" t="s">
        <v>26</v>
      </c>
      <c r="P456" s="11">
        <v>17</v>
      </c>
      <c r="Q456" s="9">
        <f>735.76</f>
        <v>735.76</v>
      </c>
    </row>
    <row r="457" spans="1:17" ht="45" customHeight="1" x14ac:dyDescent="0.25">
      <c r="A457" s="4" t="s">
        <v>20</v>
      </c>
      <c r="B457" s="5" t="s">
        <v>1309</v>
      </c>
      <c r="C457" s="4" t="s">
        <v>30</v>
      </c>
      <c r="D457" s="4" t="s">
        <v>1310</v>
      </c>
      <c r="E457" s="4" t="s">
        <v>1311</v>
      </c>
      <c r="F457" s="6">
        <f>3</f>
        <v>3</v>
      </c>
      <c r="G457" s="4" t="s">
        <v>25</v>
      </c>
      <c r="H457" s="7">
        <v>52.8</v>
      </c>
      <c r="I457" s="7">
        <v>52.8</v>
      </c>
      <c r="J457" s="8">
        <v>0.25</v>
      </c>
      <c r="K457" s="9">
        <f>66</f>
        <v>66</v>
      </c>
      <c r="L457" s="9">
        <f>198</f>
        <v>198</v>
      </c>
      <c r="M457" s="4"/>
      <c r="N457" s="10">
        <v>1</v>
      </c>
      <c r="O457" s="4" t="s">
        <v>26</v>
      </c>
      <c r="P457" s="11">
        <v>3</v>
      </c>
      <c r="Q457" s="9">
        <f>198</f>
        <v>198</v>
      </c>
    </row>
    <row r="458" spans="1:17" ht="45" customHeight="1" x14ac:dyDescent="0.25">
      <c r="A458" s="4" t="s">
        <v>20</v>
      </c>
      <c r="B458" s="5" t="s">
        <v>1312</v>
      </c>
      <c r="C458" s="4" t="s">
        <v>30</v>
      </c>
      <c r="D458" s="4" t="s">
        <v>1313</v>
      </c>
      <c r="E458" s="4" t="s">
        <v>1314</v>
      </c>
      <c r="F458" s="6">
        <f>1</f>
        <v>1</v>
      </c>
      <c r="G458" s="4" t="s">
        <v>25</v>
      </c>
      <c r="H458" s="7">
        <v>71</v>
      </c>
      <c r="I458" s="7">
        <v>71</v>
      </c>
      <c r="J458" s="8">
        <v>0.25</v>
      </c>
      <c r="K458" s="9">
        <f>88.75</f>
        <v>88.75</v>
      </c>
      <c r="L458" s="9">
        <f>88.75</f>
        <v>88.75</v>
      </c>
      <c r="M458" s="4"/>
      <c r="N458" s="10">
        <v>1</v>
      </c>
      <c r="O458" s="4" t="s">
        <v>26</v>
      </c>
      <c r="P458" s="11">
        <v>1</v>
      </c>
      <c r="Q458" s="9">
        <f>88.75</f>
        <v>88.75</v>
      </c>
    </row>
    <row r="459" spans="1:17" ht="45" customHeight="1" x14ac:dyDescent="0.25">
      <c r="A459" s="4" t="s">
        <v>20</v>
      </c>
      <c r="B459" s="5" t="s">
        <v>1315</v>
      </c>
      <c r="C459" s="4" t="s">
        <v>30</v>
      </c>
      <c r="D459" s="4" t="s">
        <v>1316</v>
      </c>
      <c r="E459" s="4" t="s">
        <v>1317</v>
      </c>
      <c r="F459" s="6">
        <f>2</f>
        <v>2</v>
      </c>
      <c r="G459" s="4" t="s">
        <v>25</v>
      </c>
      <c r="H459" s="7">
        <v>60.23</v>
      </c>
      <c r="I459" s="7">
        <v>60.23</v>
      </c>
      <c r="J459" s="8">
        <v>0.25</v>
      </c>
      <c r="K459" s="9">
        <f>75.29</f>
        <v>75.290000000000006</v>
      </c>
      <c r="L459" s="9">
        <f>150.58</f>
        <v>150.58000000000001</v>
      </c>
      <c r="M459" s="4"/>
      <c r="N459" s="10">
        <v>1</v>
      </c>
      <c r="O459" s="4" t="s">
        <v>26</v>
      </c>
      <c r="P459" s="11">
        <v>2</v>
      </c>
      <c r="Q459" s="9">
        <f>150.58</f>
        <v>150.58000000000001</v>
      </c>
    </row>
    <row r="460" spans="1:17" ht="45" customHeight="1" x14ac:dyDescent="0.25">
      <c r="A460" s="4" t="s">
        <v>20</v>
      </c>
      <c r="B460" s="5" t="s">
        <v>1318</v>
      </c>
      <c r="C460" s="4" t="s">
        <v>30</v>
      </c>
      <c r="D460" s="4" t="s">
        <v>1319</v>
      </c>
      <c r="E460" s="4" t="s">
        <v>1320</v>
      </c>
      <c r="F460" s="6">
        <f>97</f>
        <v>97</v>
      </c>
      <c r="G460" s="4" t="s">
        <v>25</v>
      </c>
      <c r="H460" s="7">
        <v>40.75</v>
      </c>
      <c r="I460" s="7">
        <v>40.75</v>
      </c>
      <c r="J460" s="8">
        <v>0.25</v>
      </c>
      <c r="K460" s="9">
        <f>50.94</f>
        <v>50.94</v>
      </c>
      <c r="L460" s="9">
        <f>4941.18</f>
        <v>4941.18</v>
      </c>
      <c r="M460" s="4"/>
      <c r="N460" s="10">
        <v>1</v>
      </c>
      <c r="O460" s="4" t="s">
        <v>26</v>
      </c>
      <c r="P460" s="11">
        <v>97</v>
      </c>
      <c r="Q460" s="9">
        <f>4941.18</f>
        <v>4941.18</v>
      </c>
    </row>
    <row r="461" spans="1:17" ht="45" customHeight="1" x14ac:dyDescent="0.25">
      <c r="A461" s="4" t="s">
        <v>20</v>
      </c>
      <c r="B461" s="5" t="s">
        <v>1321</v>
      </c>
      <c r="C461" s="4" t="s">
        <v>30</v>
      </c>
      <c r="D461" s="4" t="s">
        <v>1322</v>
      </c>
      <c r="E461" s="4" t="s">
        <v>1323</v>
      </c>
      <c r="F461" s="6">
        <f>7</f>
        <v>7</v>
      </c>
      <c r="G461" s="4" t="s">
        <v>25</v>
      </c>
      <c r="H461" s="7">
        <v>43.36</v>
      </c>
      <c r="I461" s="7">
        <v>43.36</v>
      </c>
      <c r="J461" s="8">
        <v>0.25</v>
      </c>
      <c r="K461" s="9">
        <f>54.2</f>
        <v>54.2</v>
      </c>
      <c r="L461" s="9">
        <f>379.4</f>
        <v>379.4</v>
      </c>
      <c r="M461" s="4"/>
      <c r="N461" s="10">
        <v>1</v>
      </c>
      <c r="O461" s="4" t="s">
        <v>26</v>
      </c>
      <c r="P461" s="11">
        <v>7</v>
      </c>
      <c r="Q461" s="9">
        <f>379.4</f>
        <v>379.4</v>
      </c>
    </row>
    <row r="462" spans="1:17" ht="45" customHeight="1" x14ac:dyDescent="0.25">
      <c r="A462" s="4" t="s">
        <v>20</v>
      </c>
      <c r="B462" s="5" t="s">
        <v>1324</v>
      </c>
      <c r="C462" s="4" t="s">
        <v>30</v>
      </c>
      <c r="D462" s="4" t="s">
        <v>1325</v>
      </c>
      <c r="E462" s="4" t="s">
        <v>1326</v>
      </c>
      <c r="F462" s="6">
        <f>1</f>
        <v>1</v>
      </c>
      <c r="G462" s="4" t="s">
        <v>25</v>
      </c>
      <c r="H462" s="7">
        <v>78.42</v>
      </c>
      <c r="I462" s="7">
        <v>78.42</v>
      </c>
      <c r="J462" s="8">
        <v>0.25</v>
      </c>
      <c r="K462" s="9">
        <f>98.03</f>
        <v>98.03</v>
      </c>
      <c r="L462" s="9">
        <f>98.03</f>
        <v>98.03</v>
      </c>
      <c r="M462" s="4"/>
      <c r="N462" s="10">
        <v>1</v>
      </c>
      <c r="O462" s="4" t="s">
        <v>26</v>
      </c>
      <c r="P462" s="11">
        <v>1</v>
      </c>
      <c r="Q462" s="9">
        <f>98.03</f>
        <v>98.03</v>
      </c>
    </row>
    <row r="463" spans="1:17" ht="45" customHeight="1" x14ac:dyDescent="0.25">
      <c r="A463" s="4" t="s">
        <v>20</v>
      </c>
      <c r="B463" s="5" t="s">
        <v>1327</v>
      </c>
      <c r="C463" s="4" t="s">
        <v>30</v>
      </c>
      <c r="D463" s="4" t="s">
        <v>1328</v>
      </c>
      <c r="E463" s="4" t="s">
        <v>1329</v>
      </c>
      <c r="F463" s="6">
        <f>24</f>
        <v>24</v>
      </c>
      <c r="G463" s="4" t="s">
        <v>25</v>
      </c>
      <c r="H463" s="7">
        <v>16.260000000000002</v>
      </c>
      <c r="I463" s="7">
        <v>16.260000000000002</v>
      </c>
      <c r="J463" s="8">
        <v>0.25</v>
      </c>
      <c r="K463" s="9">
        <f>20.33</f>
        <v>20.329999999999998</v>
      </c>
      <c r="L463" s="9">
        <f>487.92</f>
        <v>487.92</v>
      </c>
      <c r="M463" s="4"/>
      <c r="N463" s="10">
        <v>1</v>
      </c>
      <c r="O463" s="4" t="s">
        <v>26</v>
      </c>
      <c r="P463" s="11">
        <v>24</v>
      </c>
      <c r="Q463" s="9">
        <f>487.92</f>
        <v>487.92</v>
      </c>
    </row>
    <row r="464" spans="1:17" ht="45" customHeight="1" x14ac:dyDescent="0.25">
      <c r="A464" s="4" t="s">
        <v>20</v>
      </c>
      <c r="B464" s="5" t="s">
        <v>1330</v>
      </c>
      <c r="C464" s="4" t="s">
        <v>30</v>
      </c>
      <c r="D464" s="4" t="s">
        <v>1331</v>
      </c>
      <c r="E464" s="4" t="s">
        <v>1332</v>
      </c>
      <c r="F464" s="6">
        <f>17</f>
        <v>17</v>
      </c>
      <c r="G464" s="4" t="s">
        <v>25</v>
      </c>
      <c r="H464" s="7">
        <v>58.88</v>
      </c>
      <c r="I464" s="7">
        <v>58.88</v>
      </c>
      <c r="J464" s="8">
        <v>0.25</v>
      </c>
      <c r="K464" s="9">
        <f>73.6</f>
        <v>73.599999999999994</v>
      </c>
      <c r="L464" s="9">
        <f>1251.2</f>
        <v>1251.2</v>
      </c>
      <c r="M464" s="4"/>
      <c r="N464" s="10">
        <v>1</v>
      </c>
      <c r="O464" s="4" t="s">
        <v>26</v>
      </c>
      <c r="P464" s="11">
        <v>17</v>
      </c>
      <c r="Q464" s="9">
        <f>1251.2</f>
        <v>1251.2</v>
      </c>
    </row>
    <row r="465" spans="1:17" ht="45" customHeight="1" x14ac:dyDescent="0.25">
      <c r="A465" s="4" t="s">
        <v>20</v>
      </c>
      <c r="B465" s="5" t="s">
        <v>1333</v>
      </c>
      <c r="C465" s="4" t="s">
        <v>30</v>
      </c>
      <c r="D465" s="4" t="s">
        <v>1334</v>
      </c>
      <c r="E465" s="4" t="s">
        <v>1335</v>
      </c>
      <c r="F465" s="6">
        <f>22</f>
        <v>22</v>
      </c>
      <c r="G465" s="4" t="s">
        <v>25</v>
      </c>
      <c r="H465" s="7">
        <v>65.06</v>
      </c>
      <c r="I465" s="7">
        <v>65.06</v>
      </c>
      <c r="J465" s="8">
        <v>0.25</v>
      </c>
      <c r="K465" s="9">
        <f>81.33</f>
        <v>81.33</v>
      </c>
      <c r="L465" s="9">
        <f>1789.26</f>
        <v>1789.26</v>
      </c>
      <c r="M465" s="4"/>
      <c r="N465" s="10">
        <v>1</v>
      </c>
      <c r="O465" s="4" t="s">
        <v>26</v>
      </c>
      <c r="P465" s="11">
        <v>22</v>
      </c>
      <c r="Q465" s="9">
        <f>1789.26</f>
        <v>1789.26</v>
      </c>
    </row>
    <row r="466" spans="1:17" ht="45" customHeight="1" x14ac:dyDescent="0.25">
      <c r="A466" s="4" t="s">
        <v>20</v>
      </c>
      <c r="B466" s="5" t="s">
        <v>1336</v>
      </c>
      <c r="C466" s="4" t="s">
        <v>30</v>
      </c>
      <c r="D466" s="4" t="s">
        <v>1337</v>
      </c>
      <c r="E466" s="4" t="s">
        <v>1338</v>
      </c>
      <c r="F466" s="6">
        <f>49</f>
        <v>49</v>
      </c>
      <c r="G466" s="4" t="s">
        <v>25</v>
      </c>
      <c r="H466" s="7">
        <v>11.82</v>
      </c>
      <c r="I466" s="7">
        <v>11.82</v>
      </c>
      <c r="J466" s="8">
        <v>0.25</v>
      </c>
      <c r="K466" s="9">
        <f>14.78</f>
        <v>14.78</v>
      </c>
      <c r="L466" s="9">
        <f>724.22</f>
        <v>724.22</v>
      </c>
      <c r="M466" s="4"/>
      <c r="N466" s="10">
        <v>1</v>
      </c>
      <c r="O466" s="4" t="s">
        <v>26</v>
      </c>
      <c r="P466" s="11">
        <v>49</v>
      </c>
      <c r="Q466" s="9">
        <f>724.22</f>
        <v>724.22</v>
      </c>
    </row>
    <row r="467" spans="1:17" ht="45" customHeight="1" x14ac:dyDescent="0.25">
      <c r="A467" s="4" t="s">
        <v>20</v>
      </c>
      <c r="B467" s="5" t="s">
        <v>1339</v>
      </c>
      <c r="C467" s="4" t="s">
        <v>30</v>
      </c>
      <c r="D467" s="4" t="s">
        <v>1340</v>
      </c>
      <c r="E467" s="4" t="s">
        <v>1341</v>
      </c>
      <c r="F467" s="6">
        <f>8</f>
        <v>8</v>
      </c>
      <c r="G467" s="4" t="s">
        <v>25</v>
      </c>
      <c r="H467" s="7">
        <v>22.14</v>
      </c>
      <c r="I467" s="7">
        <v>22.14</v>
      </c>
      <c r="J467" s="8">
        <v>0.25</v>
      </c>
      <c r="K467" s="9">
        <f>27.68</f>
        <v>27.68</v>
      </c>
      <c r="L467" s="9">
        <f>221.44</f>
        <v>221.44</v>
      </c>
      <c r="M467" s="4"/>
      <c r="N467" s="10">
        <v>1</v>
      </c>
      <c r="O467" s="4" t="s">
        <v>26</v>
      </c>
      <c r="P467" s="11">
        <v>8</v>
      </c>
      <c r="Q467" s="9">
        <f>221.44</f>
        <v>221.44</v>
      </c>
    </row>
    <row r="468" spans="1:17" ht="45" customHeight="1" x14ac:dyDescent="0.25">
      <c r="A468" s="4" t="s">
        <v>20</v>
      </c>
      <c r="B468" s="5" t="s">
        <v>1342</v>
      </c>
      <c r="C468" s="4" t="s">
        <v>30</v>
      </c>
      <c r="D468" s="4" t="s">
        <v>1343</v>
      </c>
      <c r="E468" s="4" t="s">
        <v>1344</v>
      </c>
      <c r="F468" s="6">
        <f>4</f>
        <v>4</v>
      </c>
      <c r="G468" s="4" t="s">
        <v>25</v>
      </c>
      <c r="H468" s="7">
        <v>15.54</v>
      </c>
      <c r="I468" s="7">
        <v>15.54</v>
      </c>
      <c r="J468" s="8">
        <v>0.25</v>
      </c>
      <c r="K468" s="9">
        <f>19.43</f>
        <v>19.43</v>
      </c>
      <c r="L468" s="9">
        <f>77.72</f>
        <v>77.72</v>
      </c>
      <c r="M468" s="4"/>
      <c r="N468" s="10">
        <v>1</v>
      </c>
      <c r="O468" s="4" t="s">
        <v>26</v>
      </c>
      <c r="P468" s="11">
        <v>4</v>
      </c>
      <c r="Q468" s="9">
        <f>77.72</f>
        <v>77.72</v>
      </c>
    </row>
    <row r="469" spans="1:17" ht="45" customHeight="1" x14ac:dyDescent="0.25">
      <c r="A469" s="4" t="s">
        <v>20</v>
      </c>
      <c r="B469" s="5" t="s">
        <v>1345</v>
      </c>
      <c r="C469" s="4" t="s">
        <v>30</v>
      </c>
      <c r="D469" s="4" t="s">
        <v>1346</v>
      </c>
      <c r="E469" s="4" t="s">
        <v>1347</v>
      </c>
      <c r="F469" s="6">
        <f>1</f>
        <v>1</v>
      </c>
      <c r="G469" s="4" t="s">
        <v>25</v>
      </c>
      <c r="H469" s="7">
        <v>418.79</v>
      </c>
      <c r="I469" s="7">
        <v>418.79</v>
      </c>
      <c r="J469" s="8">
        <v>0.25</v>
      </c>
      <c r="K469" s="9">
        <f>523.49</f>
        <v>523.49</v>
      </c>
      <c r="L469" s="9">
        <f>523.49</f>
        <v>523.49</v>
      </c>
      <c r="M469" s="4"/>
      <c r="N469" s="10">
        <v>1</v>
      </c>
      <c r="O469" s="4" t="s">
        <v>26</v>
      </c>
      <c r="P469" s="11">
        <v>1</v>
      </c>
      <c r="Q469" s="9">
        <f>523.49</f>
        <v>523.49</v>
      </c>
    </row>
    <row r="470" spans="1:17" ht="45" customHeight="1" x14ac:dyDescent="0.25">
      <c r="A470" s="4" t="s">
        <v>20</v>
      </c>
      <c r="B470" s="5" t="s">
        <v>1348</v>
      </c>
      <c r="C470" s="4" t="s">
        <v>30</v>
      </c>
      <c r="D470" s="4" t="s">
        <v>1349</v>
      </c>
      <c r="E470" s="4" t="s">
        <v>1350</v>
      </c>
      <c r="F470" s="6">
        <f>3</f>
        <v>3</v>
      </c>
      <c r="G470" s="4" t="s">
        <v>25</v>
      </c>
      <c r="H470" s="7">
        <v>69.91</v>
      </c>
      <c r="I470" s="7">
        <v>69.91</v>
      </c>
      <c r="J470" s="8">
        <v>0.25</v>
      </c>
      <c r="K470" s="9">
        <f>87.39</f>
        <v>87.39</v>
      </c>
      <c r="L470" s="9">
        <f>262.17</f>
        <v>262.17</v>
      </c>
      <c r="M470" s="4"/>
      <c r="N470" s="10">
        <v>1</v>
      </c>
      <c r="O470" s="4" t="s">
        <v>26</v>
      </c>
      <c r="P470" s="11">
        <v>3</v>
      </c>
      <c r="Q470" s="9">
        <f>262.17</f>
        <v>262.17</v>
      </c>
    </row>
    <row r="471" spans="1:17" ht="45" customHeight="1" x14ac:dyDescent="0.25">
      <c r="A471" s="4" t="s">
        <v>20</v>
      </c>
      <c r="B471" s="5" t="s">
        <v>1351</v>
      </c>
      <c r="C471" s="4" t="s">
        <v>30</v>
      </c>
      <c r="D471" s="4" t="s">
        <v>1352</v>
      </c>
      <c r="E471" s="4" t="s">
        <v>1353</v>
      </c>
      <c r="F471" s="6">
        <f>2</f>
        <v>2</v>
      </c>
      <c r="G471" s="4" t="s">
        <v>25</v>
      </c>
      <c r="H471" s="7">
        <v>88.49</v>
      </c>
      <c r="I471" s="7">
        <v>88.49</v>
      </c>
      <c r="J471" s="8">
        <v>0.25</v>
      </c>
      <c r="K471" s="9">
        <f>110.61</f>
        <v>110.61</v>
      </c>
      <c r="L471" s="9">
        <f>221.22</f>
        <v>221.22</v>
      </c>
      <c r="M471" s="4"/>
      <c r="N471" s="10">
        <v>1</v>
      </c>
      <c r="O471" s="4" t="s">
        <v>26</v>
      </c>
      <c r="P471" s="11">
        <v>2</v>
      </c>
      <c r="Q471" s="9">
        <f>221.22</f>
        <v>221.22</v>
      </c>
    </row>
    <row r="472" spans="1:17" ht="45" customHeight="1" x14ac:dyDescent="0.25">
      <c r="A472" s="4" t="s">
        <v>20</v>
      </c>
      <c r="B472" s="5" t="s">
        <v>1354</v>
      </c>
      <c r="C472" s="4" t="s">
        <v>30</v>
      </c>
      <c r="D472" s="4" t="s">
        <v>1355</v>
      </c>
      <c r="E472" s="4" t="s">
        <v>1356</v>
      </c>
      <c r="F472" s="6">
        <f>4</f>
        <v>4</v>
      </c>
      <c r="G472" s="4" t="s">
        <v>25</v>
      </c>
      <c r="H472" s="7">
        <v>98.29</v>
      </c>
      <c r="I472" s="7">
        <v>98.29</v>
      </c>
      <c r="J472" s="8">
        <v>0.25</v>
      </c>
      <c r="K472" s="9">
        <f>122.86</f>
        <v>122.86</v>
      </c>
      <c r="L472" s="9">
        <f>491.44</f>
        <v>491.44</v>
      </c>
      <c r="M472" s="4"/>
      <c r="N472" s="10">
        <v>1</v>
      </c>
      <c r="O472" s="4" t="s">
        <v>26</v>
      </c>
      <c r="P472" s="11">
        <v>4</v>
      </c>
      <c r="Q472" s="9">
        <f>491.44</f>
        <v>491.44</v>
      </c>
    </row>
    <row r="473" spans="1:17" ht="45" customHeight="1" x14ac:dyDescent="0.25">
      <c r="A473" s="4" t="s">
        <v>20</v>
      </c>
      <c r="B473" s="5" t="s">
        <v>1357</v>
      </c>
      <c r="C473" s="4" t="s">
        <v>22</v>
      </c>
      <c r="D473" s="4" t="s">
        <v>1358</v>
      </c>
      <c r="E473" s="4" t="s">
        <v>1359</v>
      </c>
      <c r="F473" s="6">
        <f>8</f>
        <v>8</v>
      </c>
      <c r="G473" s="4" t="s">
        <v>25</v>
      </c>
      <c r="H473" s="7">
        <v>157.91999999999999</v>
      </c>
      <c r="I473" s="7">
        <v>157.9</v>
      </c>
      <c r="J473" s="8">
        <v>0.25</v>
      </c>
      <c r="K473" s="9">
        <f>197.38</f>
        <v>197.38</v>
      </c>
      <c r="L473" s="9">
        <f>1579.04</f>
        <v>1579.04</v>
      </c>
      <c r="M473" s="4"/>
      <c r="N473" s="10">
        <v>1</v>
      </c>
      <c r="O473" s="4" t="s">
        <v>26</v>
      </c>
      <c r="P473" s="11">
        <v>8</v>
      </c>
      <c r="Q473" s="9">
        <f>1579.04</f>
        <v>1579.04</v>
      </c>
    </row>
    <row r="474" spans="1:17" ht="45" customHeight="1" x14ac:dyDescent="0.25">
      <c r="A474" s="4" t="s">
        <v>20</v>
      </c>
      <c r="B474" s="5" t="s">
        <v>1360</v>
      </c>
      <c r="C474" s="4" t="s">
        <v>30</v>
      </c>
      <c r="D474" s="4" t="s">
        <v>1361</v>
      </c>
      <c r="E474" s="4" t="s">
        <v>1362</v>
      </c>
      <c r="F474" s="6">
        <f>1</f>
        <v>1</v>
      </c>
      <c r="G474" s="4" t="s">
        <v>25</v>
      </c>
      <c r="H474" s="7">
        <v>171.32</v>
      </c>
      <c r="I474" s="7">
        <v>171.09</v>
      </c>
      <c r="J474" s="8">
        <v>0.25</v>
      </c>
      <c r="K474" s="9">
        <f>213.86</f>
        <v>213.86</v>
      </c>
      <c r="L474" s="9">
        <f>213.86</f>
        <v>213.86</v>
      </c>
      <c r="M474" s="4"/>
      <c r="N474" s="10">
        <v>1</v>
      </c>
      <c r="O474" s="4" t="s">
        <v>26</v>
      </c>
      <c r="P474" s="11">
        <v>1</v>
      </c>
      <c r="Q474" s="9">
        <f>213.86</f>
        <v>213.86</v>
      </c>
    </row>
    <row r="475" spans="1:17" ht="45" customHeight="1" x14ac:dyDescent="0.25">
      <c r="A475" s="4" t="s">
        <v>20</v>
      </c>
      <c r="B475" s="5" t="s">
        <v>1363</v>
      </c>
      <c r="C475" s="4" t="s">
        <v>22</v>
      </c>
      <c r="D475" s="4" t="s">
        <v>1364</v>
      </c>
      <c r="E475" s="4" t="s">
        <v>1365</v>
      </c>
      <c r="F475" s="6">
        <f>2</f>
        <v>2</v>
      </c>
      <c r="G475" s="4" t="s">
        <v>25</v>
      </c>
      <c r="H475" s="7">
        <v>184.64</v>
      </c>
      <c r="I475" s="7">
        <v>184.63</v>
      </c>
      <c r="J475" s="8">
        <v>0.25</v>
      </c>
      <c r="K475" s="9">
        <f>230.79</f>
        <v>230.79</v>
      </c>
      <c r="L475" s="9">
        <f>461.58</f>
        <v>461.58</v>
      </c>
      <c r="M475" s="4"/>
      <c r="N475" s="10">
        <v>1</v>
      </c>
      <c r="O475" s="4" t="s">
        <v>26</v>
      </c>
      <c r="P475" s="11">
        <v>2</v>
      </c>
      <c r="Q475" s="9">
        <f>461.58</f>
        <v>461.58</v>
      </c>
    </row>
    <row r="476" spans="1:17" ht="45" customHeight="1" x14ac:dyDescent="0.25">
      <c r="A476" s="4" t="s">
        <v>20</v>
      </c>
      <c r="B476" s="5" t="s">
        <v>1366</v>
      </c>
      <c r="C476" s="4" t="s">
        <v>30</v>
      </c>
      <c r="D476" s="4" t="s">
        <v>1367</v>
      </c>
      <c r="E476" s="4" t="s">
        <v>1368</v>
      </c>
      <c r="F476" s="6">
        <f>3</f>
        <v>3</v>
      </c>
      <c r="G476" s="4" t="s">
        <v>25</v>
      </c>
      <c r="H476" s="7">
        <v>145.94</v>
      </c>
      <c r="I476" s="7">
        <v>145.94</v>
      </c>
      <c r="J476" s="8">
        <v>0.25</v>
      </c>
      <c r="K476" s="9">
        <f>182.43</f>
        <v>182.43</v>
      </c>
      <c r="L476" s="9">
        <f>547.29</f>
        <v>547.29</v>
      </c>
      <c r="M476" s="4"/>
      <c r="N476" s="10">
        <v>1</v>
      </c>
      <c r="O476" s="4" t="s">
        <v>26</v>
      </c>
      <c r="P476" s="11">
        <v>3</v>
      </c>
      <c r="Q476" s="9">
        <f>547.29</f>
        <v>547.29</v>
      </c>
    </row>
    <row r="477" spans="1:17" ht="45" customHeight="1" x14ac:dyDescent="0.25">
      <c r="A477" s="4" t="s">
        <v>20</v>
      </c>
      <c r="B477" s="5" t="s">
        <v>1369</v>
      </c>
      <c r="C477" s="4" t="s">
        <v>22</v>
      </c>
      <c r="D477" s="4" t="s">
        <v>1370</v>
      </c>
      <c r="E477" s="4" t="s">
        <v>1371</v>
      </c>
      <c r="F477" s="6">
        <f>42</f>
        <v>42</v>
      </c>
      <c r="G477" s="4" t="s">
        <v>25</v>
      </c>
      <c r="H477" s="7">
        <v>8.99</v>
      </c>
      <c r="I477" s="7">
        <v>8.98</v>
      </c>
      <c r="J477" s="8">
        <v>0.25</v>
      </c>
      <c r="K477" s="9">
        <f>11.23</f>
        <v>11.23</v>
      </c>
      <c r="L477" s="9">
        <f>471.66</f>
        <v>471.66</v>
      </c>
      <c r="M477" s="4"/>
      <c r="N477" s="10">
        <v>1</v>
      </c>
      <c r="O477" s="4" t="s">
        <v>26</v>
      </c>
      <c r="P477" s="11">
        <v>42</v>
      </c>
      <c r="Q477" s="9">
        <f>471.66</f>
        <v>471.66</v>
      </c>
    </row>
    <row r="478" spans="1:17" ht="45" customHeight="1" x14ac:dyDescent="0.25">
      <c r="A478" s="4" t="s">
        <v>20</v>
      </c>
      <c r="B478" s="5" t="s">
        <v>1372</v>
      </c>
      <c r="C478" s="4" t="s">
        <v>30</v>
      </c>
      <c r="D478" s="4" t="s">
        <v>1373</v>
      </c>
      <c r="E478" s="4" t="s">
        <v>1374</v>
      </c>
      <c r="F478" s="6">
        <f>40</f>
        <v>40</v>
      </c>
      <c r="G478" s="4" t="s">
        <v>25</v>
      </c>
      <c r="H478" s="7">
        <v>95.28</v>
      </c>
      <c r="I478" s="7">
        <v>95.28</v>
      </c>
      <c r="J478" s="8">
        <v>0.25</v>
      </c>
      <c r="K478" s="9">
        <f>119.1</f>
        <v>119.1</v>
      </c>
      <c r="L478" s="9">
        <f>4764</f>
        <v>4764</v>
      </c>
      <c r="M478" s="4"/>
      <c r="N478" s="10">
        <v>1</v>
      </c>
      <c r="O478" s="4" t="s">
        <v>26</v>
      </c>
      <c r="P478" s="11">
        <v>40</v>
      </c>
      <c r="Q478" s="9">
        <f>4764</f>
        <v>4764</v>
      </c>
    </row>
    <row r="479" spans="1:17" ht="45" customHeight="1" x14ac:dyDescent="0.25">
      <c r="A479" s="4" t="s">
        <v>20</v>
      </c>
      <c r="B479" s="5" t="s">
        <v>1375</v>
      </c>
      <c r="C479" s="4" t="s">
        <v>30</v>
      </c>
      <c r="D479" s="4" t="s">
        <v>1376</v>
      </c>
      <c r="E479" s="4" t="s">
        <v>1377</v>
      </c>
      <c r="F479" s="6">
        <f>190</f>
        <v>190</v>
      </c>
      <c r="G479" s="4" t="s">
        <v>46</v>
      </c>
      <c r="H479" s="7">
        <v>101.52</v>
      </c>
      <c r="I479" s="7">
        <v>101.52</v>
      </c>
      <c r="J479" s="8">
        <v>0.25</v>
      </c>
      <c r="K479" s="9">
        <f>126.9</f>
        <v>126.9</v>
      </c>
      <c r="L479" s="9">
        <f>24111</f>
        <v>24111</v>
      </c>
      <c r="M479" s="4"/>
      <c r="N479" s="10">
        <v>1</v>
      </c>
      <c r="O479" s="4" t="s">
        <v>26</v>
      </c>
      <c r="P479" s="11">
        <v>190</v>
      </c>
      <c r="Q479" s="9">
        <f>24111</f>
        <v>24111</v>
      </c>
    </row>
    <row r="480" spans="1:17" ht="45" customHeight="1" x14ac:dyDescent="0.25">
      <c r="A480" s="4" t="s">
        <v>20</v>
      </c>
      <c r="B480" s="5" t="s">
        <v>1378</v>
      </c>
      <c r="C480" s="4" t="s">
        <v>22</v>
      </c>
      <c r="D480" s="4" t="s">
        <v>1379</v>
      </c>
      <c r="E480" s="4" t="s">
        <v>1380</v>
      </c>
      <c r="F480" s="6">
        <f>9</f>
        <v>9</v>
      </c>
      <c r="G480" s="4" t="s">
        <v>25</v>
      </c>
      <c r="H480" s="7">
        <v>18.04</v>
      </c>
      <c r="I480" s="7">
        <v>18.02</v>
      </c>
      <c r="J480" s="8">
        <v>0.25</v>
      </c>
      <c r="K480" s="9">
        <f>22.53</f>
        <v>22.53</v>
      </c>
      <c r="L480" s="9">
        <f>202.77</f>
        <v>202.77</v>
      </c>
      <c r="M480" s="4"/>
      <c r="N480" s="10">
        <v>1</v>
      </c>
      <c r="O480" s="4" t="s">
        <v>26</v>
      </c>
      <c r="P480" s="11">
        <v>9</v>
      </c>
      <c r="Q480" s="9">
        <f>202.77</f>
        <v>202.77</v>
      </c>
    </row>
    <row r="481" spans="1:17" ht="45" customHeight="1" x14ac:dyDescent="0.25">
      <c r="A481" s="4" t="s">
        <v>20</v>
      </c>
      <c r="B481" s="5" t="s">
        <v>1381</v>
      </c>
      <c r="C481" s="4" t="s">
        <v>30</v>
      </c>
      <c r="D481" s="4" t="s">
        <v>1382</v>
      </c>
      <c r="E481" s="4" t="s">
        <v>1383</v>
      </c>
      <c r="F481" s="6">
        <f>88.2</f>
        <v>88.2</v>
      </c>
      <c r="G481" s="4" t="s">
        <v>46</v>
      </c>
      <c r="H481" s="7">
        <v>29.41</v>
      </c>
      <c r="I481" s="7">
        <v>29.41</v>
      </c>
      <c r="J481" s="8">
        <v>0.25</v>
      </c>
      <c r="K481" s="9">
        <f>36.76</f>
        <v>36.76</v>
      </c>
      <c r="L481" s="9">
        <f>3242.23</f>
        <v>3242.23</v>
      </c>
      <c r="M481" s="4"/>
      <c r="N481" s="10">
        <v>1</v>
      </c>
      <c r="O481" s="4" t="s">
        <v>26</v>
      </c>
      <c r="P481" s="11">
        <v>88.2</v>
      </c>
      <c r="Q481" s="9">
        <f>3242.23</f>
        <v>3242.23</v>
      </c>
    </row>
    <row r="482" spans="1:17" ht="45" customHeight="1" x14ac:dyDescent="0.25">
      <c r="A482" s="4" t="s">
        <v>20</v>
      </c>
      <c r="B482" s="5" t="s">
        <v>1384</v>
      </c>
      <c r="C482" s="4" t="s">
        <v>30</v>
      </c>
      <c r="D482" s="4" t="s">
        <v>1385</v>
      </c>
      <c r="E482" s="4" t="s">
        <v>1386</v>
      </c>
      <c r="F482" s="6">
        <f>848.2</f>
        <v>848.2</v>
      </c>
      <c r="G482" s="4" t="s">
        <v>46</v>
      </c>
      <c r="H482" s="7">
        <v>13.59</v>
      </c>
      <c r="I482" s="7">
        <v>13.59</v>
      </c>
      <c r="J482" s="8">
        <v>0.25</v>
      </c>
      <c r="K482" s="9">
        <f>16.99</f>
        <v>16.989999999999998</v>
      </c>
      <c r="L482" s="9">
        <f>14410.92</f>
        <v>14410.92</v>
      </c>
      <c r="M482" s="4"/>
      <c r="N482" s="10">
        <v>1</v>
      </c>
      <c r="O482" s="4" t="s">
        <v>26</v>
      </c>
      <c r="P482" s="11">
        <v>848.2</v>
      </c>
      <c r="Q482" s="9">
        <f>14410.92</f>
        <v>14410.92</v>
      </c>
    </row>
    <row r="483" spans="1:17" ht="45" customHeight="1" x14ac:dyDescent="0.25">
      <c r="A483" s="4" t="s">
        <v>20</v>
      </c>
      <c r="B483" s="5" t="s">
        <v>1387</v>
      </c>
      <c r="C483" s="4" t="s">
        <v>30</v>
      </c>
      <c r="D483" s="4" t="s">
        <v>1388</v>
      </c>
      <c r="E483" s="4" t="s">
        <v>1389</v>
      </c>
      <c r="F483" s="6">
        <f>4.9</f>
        <v>4.9000000000000004</v>
      </c>
      <c r="G483" s="4" t="s">
        <v>46</v>
      </c>
      <c r="H483" s="7">
        <v>24.19</v>
      </c>
      <c r="I483" s="7">
        <v>24.19</v>
      </c>
      <c r="J483" s="8">
        <v>0.25</v>
      </c>
      <c r="K483" s="9">
        <f>30.24</f>
        <v>30.24</v>
      </c>
      <c r="L483" s="9">
        <f>148.18</f>
        <v>148.18</v>
      </c>
      <c r="M483" s="4"/>
      <c r="N483" s="10">
        <v>1</v>
      </c>
      <c r="O483" s="4" t="s">
        <v>26</v>
      </c>
      <c r="P483" s="11">
        <v>4.9000000000000004</v>
      </c>
      <c r="Q483" s="9">
        <f>148.18</f>
        <v>148.18</v>
      </c>
    </row>
    <row r="484" spans="1:17" ht="45" customHeight="1" x14ac:dyDescent="0.25">
      <c r="A484" s="4" t="s">
        <v>20</v>
      </c>
      <c r="B484" s="5" t="s">
        <v>1390</v>
      </c>
      <c r="C484" s="4" t="s">
        <v>30</v>
      </c>
      <c r="D484" s="4" t="s">
        <v>1391</v>
      </c>
      <c r="E484" s="4" t="s">
        <v>1392</v>
      </c>
      <c r="F484" s="6">
        <f>3</f>
        <v>3</v>
      </c>
      <c r="G484" s="4" t="s">
        <v>46</v>
      </c>
      <c r="H484" s="7">
        <v>15.31</v>
      </c>
      <c r="I484" s="7">
        <v>15.31</v>
      </c>
      <c r="J484" s="8">
        <v>0.25</v>
      </c>
      <c r="K484" s="9">
        <f>19.14</f>
        <v>19.14</v>
      </c>
      <c r="L484" s="9">
        <f>57.42</f>
        <v>57.42</v>
      </c>
      <c r="M484" s="4"/>
      <c r="N484" s="10">
        <v>1</v>
      </c>
      <c r="O484" s="4" t="s">
        <v>26</v>
      </c>
      <c r="P484" s="11">
        <v>3</v>
      </c>
      <c r="Q484" s="9">
        <f>57.42</f>
        <v>57.42</v>
      </c>
    </row>
    <row r="485" spans="1:17" ht="45" customHeight="1" x14ac:dyDescent="0.25">
      <c r="A485" s="4" t="s">
        <v>20</v>
      </c>
      <c r="B485" s="5" t="s">
        <v>1393</v>
      </c>
      <c r="C485" s="4" t="s">
        <v>22</v>
      </c>
      <c r="D485" s="4" t="s">
        <v>1391</v>
      </c>
      <c r="E485" s="4" t="s">
        <v>1394</v>
      </c>
      <c r="F485" s="6">
        <f>12</f>
        <v>12</v>
      </c>
      <c r="G485" s="4" t="s">
        <v>46</v>
      </c>
      <c r="H485" s="7">
        <v>25.95</v>
      </c>
      <c r="I485" s="7">
        <v>25.95</v>
      </c>
      <c r="J485" s="8">
        <v>0.25</v>
      </c>
      <c r="K485" s="9">
        <f>32.44</f>
        <v>32.44</v>
      </c>
      <c r="L485" s="9">
        <f>389.28</f>
        <v>389.28</v>
      </c>
      <c r="M485" s="4"/>
      <c r="N485" s="10">
        <v>1</v>
      </c>
      <c r="O485" s="4" t="s">
        <v>26</v>
      </c>
      <c r="P485" s="11">
        <v>12</v>
      </c>
      <c r="Q485" s="9">
        <f>389.28</f>
        <v>389.28</v>
      </c>
    </row>
    <row r="486" spans="1:17" ht="45" customHeight="1" x14ac:dyDescent="0.25">
      <c r="A486" s="4" t="s">
        <v>20</v>
      </c>
      <c r="B486" s="5" t="s">
        <v>1395</v>
      </c>
      <c r="C486" s="4" t="s">
        <v>22</v>
      </c>
      <c r="D486" s="4" t="s">
        <v>1396</v>
      </c>
      <c r="E486" s="4" t="s">
        <v>1397</v>
      </c>
      <c r="F486" s="6">
        <f>7.8</f>
        <v>7.8</v>
      </c>
      <c r="G486" s="4" t="s">
        <v>46</v>
      </c>
      <c r="H486" s="7">
        <v>41.61</v>
      </c>
      <c r="I486" s="7">
        <v>41.59</v>
      </c>
      <c r="J486" s="8">
        <v>0.25</v>
      </c>
      <c r="K486" s="9">
        <f>51.99</f>
        <v>51.99</v>
      </c>
      <c r="L486" s="9">
        <f>405.52</f>
        <v>405.52</v>
      </c>
      <c r="M486" s="4"/>
      <c r="N486" s="10">
        <v>1</v>
      </c>
      <c r="O486" s="4" t="s">
        <v>26</v>
      </c>
      <c r="P486" s="11">
        <v>7.8</v>
      </c>
      <c r="Q486" s="9">
        <f>405.52</f>
        <v>405.52</v>
      </c>
    </row>
    <row r="487" spans="1:17" ht="45" customHeight="1" x14ac:dyDescent="0.25">
      <c r="A487" s="4" t="s">
        <v>20</v>
      </c>
      <c r="B487" s="5" t="s">
        <v>1398</v>
      </c>
      <c r="C487" s="4" t="s">
        <v>30</v>
      </c>
      <c r="D487" s="4" t="s">
        <v>1399</v>
      </c>
      <c r="E487" s="4" t="s">
        <v>1400</v>
      </c>
      <c r="F487" s="6">
        <f>77</f>
        <v>77</v>
      </c>
      <c r="G487" s="4" t="s">
        <v>46</v>
      </c>
      <c r="H487" s="7">
        <v>31.46</v>
      </c>
      <c r="I487" s="7">
        <v>31.46</v>
      </c>
      <c r="J487" s="8">
        <v>0.25</v>
      </c>
      <c r="K487" s="9">
        <f>39.33</f>
        <v>39.33</v>
      </c>
      <c r="L487" s="9">
        <f>3028.41</f>
        <v>3028.41</v>
      </c>
      <c r="M487" s="4"/>
      <c r="N487" s="10">
        <v>1</v>
      </c>
      <c r="O487" s="4" t="s">
        <v>26</v>
      </c>
      <c r="P487" s="11">
        <v>77</v>
      </c>
      <c r="Q487" s="9">
        <f>3028.41</f>
        <v>3028.41</v>
      </c>
    </row>
    <row r="488" spans="1:17" ht="45" customHeight="1" x14ac:dyDescent="0.25">
      <c r="A488" s="4" t="s">
        <v>20</v>
      </c>
      <c r="B488" s="5" t="s">
        <v>1401</v>
      </c>
      <c r="C488" s="4" t="s">
        <v>30</v>
      </c>
      <c r="D488" s="4" t="s">
        <v>1402</v>
      </c>
      <c r="E488" s="4" t="s">
        <v>1403</v>
      </c>
      <c r="F488" s="6">
        <f>24.1</f>
        <v>24.1</v>
      </c>
      <c r="G488" s="4" t="s">
        <v>46</v>
      </c>
      <c r="H488" s="7">
        <v>16.48</v>
      </c>
      <c r="I488" s="7">
        <v>16.48</v>
      </c>
      <c r="J488" s="8">
        <v>0.25</v>
      </c>
      <c r="K488" s="9">
        <f>20.6</f>
        <v>20.6</v>
      </c>
      <c r="L488" s="9">
        <f>496.46</f>
        <v>496.46</v>
      </c>
      <c r="M488" s="4"/>
      <c r="N488" s="10">
        <v>1</v>
      </c>
      <c r="O488" s="4" t="s">
        <v>26</v>
      </c>
      <c r="P488" s="11">
        <v>24.1</v>
      </c>
      <c r="Q488" s="9">
        <f>496.46</f>
        <v>496.46</v>
      </c>
    </row>
    <row r="489" spans="1:17" ht="45" customHeight="1" x14ac:dyDescent="0.25">
      <c r="A489" s="4" t="s">
        <v>20</v>
      </c>
      <c r="B489" s="5" t="s">
        <v>1404</v>
      </c>
      <c r="C489" s="4" t="s">
        <v>22</v>
      </c>
      <c r="D489" s="4" t="s">
        <v>1405</v>
      </c>
      <c r="E489" s="4" t="s">
        <v>1406</v>
      </c>
      <c r="F489" s="6">
        <f>250</f>
        <v>250</v>
      </c>
      <c r="G489" s="4" t="s">
        <v>46</v>
      </c>
      <c r="H489" s="7">
        <v>15.04</v>
      </c>
      <c r="I489" s="7">
        <v>15.03</v>
      </c>
      <c r="J489" s="8">
        <v>0.25</v>
      </c>
      <c r="K489" s="9">
        <f>18.79</f>
        <v>18.79</v>
      </c>
      <c r="L489" s="9">
        <f>4697.5</f>
        <v>4697.5</v>
      </c>
      <c r="M489" s="4"/>
      <c r="N489" s="10">
        <v>1</v>
      </c>
      <c r="O489" s="4" t="s">
        <v>26</v>
      </c>
      <c r="P489" s="11">
        <v>250</v>
      </c>
      <c r="Q489" s="9">
        <f>4697.5</f>
        <v>4697.5</v>
      </c>
    </row>
    <row r="490" spans="1:17" ht="45" customHeight="1" x14ac:dyDescent="0.25">
      <c r="A490" s="4" t="s">
        <v>20</v>
      </c>
      <c r="B490" s="5" t="s">
        <v>1407</v>
      </c>
      <c r="C490" s="4" t="s">
        <v>22</v>
      </c>
      <c r="D490" s="4" t="s">
        <v>1408</v>
      </c>
      <c r="E490" s="4" t="s">
        <v>1409</v>
      </c>
      <c r="F490" s="6">
        <f>229.1</f>
        <v>229.1</v>
      </c>
      <c r="G490" s="4" t="s">
        <v>46</v>
      </c>
      <c r="H490" s="7">
        <v>61.06</v>
      </c>
      <c r="I490" s="7">
        <v>61.05</v>
      </c>
      <c r="J490" s="8">
        <v>0.25</v>
      </c>
      <c r="K490" s="9">
        <f>76.31</f>
        <v>76.31</v>
      </c>
      <c r="L490" s="9">
        <f>17482.62</f>
        <v>17482.62</v>
      </c>
      <c r="M490" s="4"/>
      <c r="N490" s="10">
        <v>1</v>
      </c>
      <c r="O490" s="4" t="s">
        <v>26</v>
      </c>
      <c r="P490" s="11">
        <v>229.1</v>
      </c>
      <c r="Q490" s="9">
        <f>17482.62</f>
        <v>17482.62</v>
      </c>
    </row>
    <row r="491" spans="1:17" ht="45" customHeight="1" x14ac:dyDescent="0.25">
      <c r="A491" s="4" t="s">
        <v>20</v>
      </c>
      <c r="B491" s="5" t="s">
        <v>1410</v>
      </c>
      <c r="C491" s="4" t="s">
        <v>22</v>
      </c>
      <c r="D491" s="4" t="s">
        <v>1411</v>
      </c>
      <c r="E491" s="4" t="s">
        <v>1412</v>
      </c>
      <c r="F491" s="6">
        <f>6</f>
        <v>6</v>
      </c>
      <c r="G491" s="4" t="s">
        <v>25</v>
      </c>
      <c r="H491" s="7">
        <v>47.78</v>
      </c>
      <c r="I491" s="7">
        <v>47.76</v>
      </c>
      <c r="J491" s="8">
        <v>0.25</v>
      </c>
      <c r="K491" s="9">
        <f>59.7</f>
        <v>59.7</v>
      </c>
      <c r="L491" s="9">
        <f>358.2</f>
        <v>358.2</v>
      </c>
      <c r="M491" s="4"/>
      <c r="N491" s="10">
        <v>1</v>
      </c>
      <c r="O491" s="4" t="s">
        <v>26</v>
      </c>
      <c r="P491" s="11">
        <v>6</v>
      </c>
      <c r="Q491" s="9">
        <f>358.2</f>
        <v>358.2</v>
      </c>
    </row>
    <row r="492" spans="1:17" ht="45" customHeight="1" x14ac:dyDescent="0.25">
      <c r="A492" s="4" t="s">
        <v>20</v>
      </c>
      <c r="B492" s="5" t="s">
        <v>1413</v>
      </c>
      <c r="C492" s="4" t="s">
        <v>22</v>
      </c>
      <c r="D492" s="4" t="s">
        <v>1414</v>
      </c>
      <c r="E492" s="4" t="s">
        <v>1415</v>
      </c>
      <c r="F492" s="6">
        <f>46</f>
        <v>46</v>
      </c>
      <c r="G492" s="4" t="s">
        <v>25</v>
      </c>
      <c r="H492" s="7">
        <v>114.2</v>
      </c>
      <c r="I492" s="7">
        <v>114.18</v>
      </c>
      <c r="J492" s="8">
        <v>0.25</v>
      </c>
      <c r="K492" s="9">
        <f>142.73</f>
        <v>142.72999999999999</v>
      </c>
      <c r="L492" s="9">
        <f>6565.58</f>
        <v>6565.58</v>
      </c>
      <c r="M492" s="4"/>
      <c r="N492" s="10">
        <v>1</v>
      </c>
      <c r="O492" s="4" t="s">
        <v>26</v>
      </c>
      <c r="P492" s="11">
        <v>46</v>
      </c>
      <c r="Q492" s="9">
        <f>6565.58</f>
        <v>6565.58</v>
      </c>
    </row>
    <row r="493" spans="1:17" ht="45" customHeight="1" x14ac:dyDescent="0.25">
      <c r="A493" s="4" t="s">
        <v>20</v>
      </c>
      <c r="B493" s="5" t="s">
        <v>1416</v>
      </c>
      <c r="C493" s="4" t="s">
        <v>22</v>
      </c>
      <c r="D493" s="4" t="s">
        <v>1417</v>
      </c>
      <c r="E493" s="4" t="s">
        <v>1418</v>
      </c>
      <c r="F493" s="6">
        <f>31</f>
        <v>31</v>
      </c>
      <c r="G493" s="4" t="s">
        <v>25</v>
      </c>
      <c r="H493" s="7">
        <v>114.2</v>
      </c>
      <c r="I493" s="7">
        <v>114.18</v>
      </c>
      <c r="J493" s="8">
        <v>0.25</v>
      </c>
      <c r="K493" s="9">
        <f>142.73</f>
        <v>142.72999999999999</v>
      </c>
      <c r="L493" s="9">
        <f>4424.63</f>
        <v>4424.63</v>
      </c>
      <c r="M493" s="4"/>
      <c r="N493" s="10">
        <v>1</v>
      </c>
      <c r="O493" s="4" t="s">
        <v>26</v>
      </c>
      <c r="P493" s="11">
        <v>31</v>
      </c>
      <c r="Q493" s="9">
        <f>4424.63</f>
        <v>4424.63</v>
      </c>
    </row>
    <row r="494" spans="1:17" ht="45" customHeight="1" x14ac:dyDescent="0.25">
      <c r="A494" s="4" t="s">
        <v>20</v>
      </c>
      <c r="B494" s="5" t="s">
        <v>1419</v>
      </c>
      <c r="C494" s="4" t="s">
        <v>30</v>
      </c>
      <c r="D494" s="4" t="s">
        <v>1420</v>
      </c>
      <c r="E494" s="4" t="s">
        <v>1421</v>
      </c>
      <c r="F494" s="6">
        <f>15</f>
        <v>15</v>
      </c>
      <c r="G494" s="4" t="s">
        <v>25</v>
      </c>
      <c r="H494" s="7">
        <v>34.07</v>
      </c>
      <c r="I494" s="7">
        <v>34.07</v>
      </c>
      <c r="J494" s="8">
        <v>0.25</v>
      </c>
      <c r="K494" s="9">
        <f>42.59</f>
        <v>42.59</v>
      </c>
      <c r="L494" s="9">
        <f>638.85</f>
        <v>638.85</v>
      </c>
      <c r="M494" s="4"/>
      <c r="N494" s="10">
        <v>1</v>
      </c>
      <c r="O494" s="4" t="s">
        <v>26</v>
      </c>
      <c r="P494" s="11">
        <v>15</v>
      </c>
      <c r="Q494" s="9">
        <f>638.85</f>
        <v>638.85</v>
      </c>
    </row>
    <row r="495" spans="1:17" ht="45" customHeight="1" x14ac:dyDescent="0.25">
      <c r="A495" s="4" t="s">
        <v>20</v>
      </c>
      <c r="B495" s="5" t="s">
        <v>1422</v>
      </c>
      <c r="C495" s="4" t="s">
        <v>22</v>
      </c>
      <c r="D495" s="4" t="s">
        <v>1423</v>
      </c>
      <c r="E495" s="4" t="s">
        <v>1424</v>
      </c>
      <c r="F495" s="6">
        <f>5</f>
        <v>5</v>
      </c>
      <c r="G495" s="4" t="s">
        <v>25</v>
      </c>
      <c r="H495" s="7">
        <v>127.07</v>
      </c>
      <c r="I495" s="7">
        <v>127.07</v>
      </c>
      <c r="J495" s="8">
        <v>0.25</v>
      </c>
      <c r="K495" s="9">
        <f>158.84</f>
        <v>158.84</v>
      </c>
      <c r="L495" s="9">
        <f>794.2</f>
        <v>794.2</v>
      </c>
      <c r="M495" s="4"/>
      <c r="N495" s="10">
        <v>1</v>
      </c>
      <c r="O495" s="4" t="s">
        <v>26</v>
      </c>
      <c r="P495" s="11">
        <v>5</v>
      </c>
      <c r="Q495" s="9">
        <f>794.2</f>
        <v>794.2</v>
      </c>
    </row>
    <row r="496" spans="1:17" ht="45" customHeight="1" x14ac:dyDescent="0.25">
      <c r="A496" s="4" t="s">
        <v>20</v>
      </c>
      <c r="B496" s="5" t="s">
        <v>1425</v>
      </c>
      <c r="C496" s="4" t="s">
        <v>22</v>
      </c>
      <c r="D496" s="4" t="s">
        <v>1426</v>
      </c>
      <c r="E496" s="4" t="s">
        <v>1427</v>
      </c>
      <c r="F496" s="6">
        <f>9</f>
        <v>9</v>
      </c>
      <c r="G496" s="4" t="s">
        <v>25</v>
      </c>
      <c r="H496" s="7">
        <v>121.07</v>
      </c>
      <c r="I496" s="7">
        <v>121.07</v>
      </c>
      <c r="J496" s="8">
        <v>0.25</v>
      </c>
      <c r="K496" s="9">
        <f>151.34</f>
        <v>151.34</v>
      </c>
      <c r="L496" s="9">
        <f>1362.06</f>
        <v>1362.06</v>
      </c>
      <c r="M496" s="4"/>
      <c r="N496" s="10">
        <v>1</v>
      </c>
      <c r="O496" s="4" t="s">
        <v>26</v>
      </c>
      <c r="P496" s="11">
        <v>9</v>
      </c>
      <c r="Q496" s="9">
        <f>1362.06</f>
        <v>1362.06</v>
      </c>
    </row>
    <row r="497" spans="1:17" ht="45" customHeight="1" x14ac:dyDescent="0.25">
      <c r="A497" s="4" t="s">
        <v>20</v>
      </c>
      <c r="B497" s="5" t="s">
        <v>1428</v>
      </c>
      <c r="C497" s="4" t="s">
        <v>30</v>
      </c>
      <c r="D497" s="4" t="s">
        <v>1429</v>
      </c>
      <c r="E497" s="4" t="s">
        <v>1430</v>
      </c>
      <c r="F497" s="6">
        <f>10</f>
        <v>10</v>
      </c>
      <c r="G497" s="4" t="s">
        <v>25</v>
      </c>
      <c r="H497" s="7">
        <v>100.25</v>
      </c>
      <c r="I497" s="7">
        <v>100.25</v>
      </c>
      <c r="J497" s="8">
        <v>0.25</v>
      </c>
      <c r="K497" s="9">
        <f>125.31</f>
        <v>125.31</v>
      </c>
      <c r="L497" s="9">
        <f>1253.1</f>
        <v>1253.0999999999999</v>
      </c>
      <c r="M497" s="4"/>
      <c r="N497" s="10">
        <v>1</v>
      </c>
      <c r="O497" s="4" t="s">
        <v>26</v>
      </c>
      <c r="P497" s="11">
        <v>10</v>
      </c>
      <c r="Q497" s="9">
        <f>1253.1</f>
        <v>1253.0999999999999</v>
      </c>
    </row>
    <row r="498" spans="1:17" ht="45" customHeight="1" x14ac:dyDescent="0.25">
      <c r="A498" s="4" t="s">
        <v>20</v>
      </c>
      <c r="B498" s="5" t="s">
        <v>1431</v>
      </c>
      <c r="C498" s="4" t="s">
        <v>22</v>
      </c>
      <c r="D498" s="4" t="s">
        <v>1432</v>
      </c>
      <c r="E498" s="4" t="s">
        <v>1433</v>
      </c>
      <c r="F498" s="6">
        <f>2</f>
        <v>2</v>
      </c>
      <c r="G498" s="4" t="s">
        <v>25</v>
      </c>
      <c r="H498" s="7">
        <v>107.1</v>
      </c>
      <c r="I498" s="7">
        <v>107.08</v>
      </c>
      <c r="J498" s="8">
        <v>0.25</v>
      </c>
      <c r="K498" s="9">
        <f>133.85</f>
        <v>133.85</v>
      </c>
      <c r="L498" s="9">
        <f>267.7</f>
        <v>267.7</v>
      </c>
      <c r="M498" s="4"/>
      <c r="N498" s="10">
        <v>1</v>
      </c>
      <c r="O498" s="4" t="s">
        <v>26</v>
      </c>
      <c r="P498" s="11">
        <v>2</v>
      </c>
      <c r="Q498" s="9">
        <f>267.7</f>
        <v>267.7</v>
      </c>
    </row>
    <row r="499" spans="1:17" ht="45" customHeight="1" x14ac:dyDescent="0.25">
      <c r="A499" s="4" t="s">
        <v>20</v>
      </c>
      <c r="B499" s="5" t="s">
        <v>1434</v>
      </c>
      <c r="C499" s="4" t="s">
        <v>22</v>
      </c>
      <c r="D499" s="4" t="s">
        <v>1435</v>
      </c>
      <c r="E499" s="4" t="s">
        <v>1436</v>
      </c>
      <c r="F499" s="6">
        <f>6</f>
        <v>6</v>
      </c>
      <c r="G499" s="4" t="s">
        <v>25</v>
      </c>
      <c r="H499" s="7">
        <v>183.65</v>
      </c>
      <c r="I499" s="7">
        <v>183.63</v>
      </c>
      <c r="J499" s="8">
        <v>0.25</v>
      </c>
      <c r="K499" s="9">
        <f>229.54</f>
        <v>229.54</v>
      </c>
      <c r="L499" s="9">
        <f>1377.24</f>
        <v>1377.24</v>
      </c>
      <c r="M499" s="4"/>
      <c r="N499" s="10">
        <v>1</v>
      </c>
      <c r="O499" s="4" t="s">
        <v>26</v>
      </c>
      <c r="P499" s="11">
        <v>6</v>
      </c>
      <c r="Q499" s="9">
        <f>1377.24</f>
        <v>1377.24</v>
      </c>
    </row>
    <row r="500" spans="1:17" ht="45" customHeight="1" x14ac:dyDescent="0.25">
      <c r="A500" s="4" t="s">
        <v>20</v>
      </c>
      <c r="B500" s="5" t="s">
        <v>1437</v>
      </c>
      <c r="C500" s="4" t="s">
        <v>30</v>
      </c>
      <c r="D500" s="4" t="s">
        <v>1438</v>
      </c>
      <c r="E500" s="4" t="s">
        <v>1439</v>
      </c>
      <c r="F500" s="6">
        <f>1</f>
        <v>1</v>
      </c>
      <c r="G500" s="4" t="s">
        <v>25</v>
      </c>
      <c r="H500" s="7">
        <v>1892.86</v>
      </c>
      <c r="I500" s="7">
        <v>1892.86</v>
      </c>
      <c r="J500" s="8">
        <v>0.25</v>
      </c>
      <c r="K500" s="9">
        <f>2366.08</f>
        <v>2366.08</v>
      </c>
      <c r="L500" s="9">
        <f>2366.08</f>
        <v>2366.08</v>
      </c>
      <c r="M500" s="4"/>
      <c r="N500" s="10">
        <v>1</v>
      </c>
      <c r="O500" s="4" t="s">
        <v>26</v>
      </c>
      <c r="P500" s="11">
        <v>1</v>
      </c>
      <c r="Q500" s="9">
        <f>2366.08</f>
        <v>2366.08</v>
      </c>
    </row>
    <row r="501" spans="1:17" ht="45" customHeight="1" x14ac:dyDescent="0.25">
      <c r="A501" s="4" t="s">
        <v>20</v>
      </c>
      <c r="B501" s="5" t="s">
        <v>1440</v>
      </c>
      <c r="C501" s="4" t="s">
        <v>22</v>
      </c>
      <c r="D501" s="4" t="s">
        <v>1441</v>
      </c>
      <c r="E501" s="4" t="s">
        <v>1442</v>
      </c>
      <c r="F501" s="6">
        <f>1</f>
        <v>1</v>
      </c>
      <c r="G501" s="4" t="s">
        <v>25</v>
      </c>
      <c r="H501" s="7">
        <v>769.57</v>
      </c>
      <c r="I501" s="7">
        <v>769.57</v>
      </c>
      <c r="J501" s="8">
        <v>0.25</v>
      </c>
      <c r="K501" s="9">
        <f>961.96</f>
        <v>961.96</v>
      </c>
      <c r="L501" s="9">
        <f>961.96</f>
        <v>961.96</v>
      </c>
      <c r="M501" s="4"/>
      <c r="N501" s="10">
        <v>1</v>
      </c>
      <c r="O501" s="4" t="s">
        <v>26</v>
      </c>
      <c r="P501" s="11">
        <v>1</v>
      </c>
      <c r="Q501" s="9">
        <f>961.96</f>
        <v>961.96</v>
      </c>
    </row>
    <row r="502" spans="1:17" ht="45" customHeight="1" x14ac:dyDescent="0.25">
      <c r="A502" s="4" t="s">
        <v>20</v>
      </c>
      <c r="B502" s="5" t="s">
        <v>1443</v>
      </c>
      <c r="C502" s="4" t="s">
        <v>22</v>
      </c>
      <c r="D502" s="4" t="s">
        <v>1444</v>
      </c>
      <c r="E502" s="4" t="s">
        <v>1445</v>
      </c>
      <c r="F502" s="6">
        <f>2</f>
        <v>2</v>
      </c>
      <c r="G502" s="4" t="s">
        <v>25</v>
      </c>
      <c r="H502" s="7">
        <v>1136.19</v>
      </c>
      <c r="I502" s="7">
        <v>1136.18</v>
      </c>
      <c r="J502" s="8">
        <v>0.25</v>
      </c>
      <c r="K502" s="9">
        <f>1420.23</f>
        <v>1420.23</v>
      </c>
      <c r="L502" s="9">
        <f>2840.46</f>
        <v>2840.46</v>
      </c>
      <c r="M502" s="4"/>
      <c r="N502" s="10">
        <v>1</v>
      </c>
      <c r="O502" s="4" t="s">
        <v>26</v>
      </c>
      <c r="P502" s="11">
        <v>2</v>
      </c>
      <c r="Q502" s="9">
        <f>2840.46</f>
        <v>2840.46</v>
      </c>
    </row>
    <row r="503" spans="1:17" ht="45" customHeight="1" x14ac:dyDescent="0.25">
      <c r="A503" s="4" t="s">
        <v>20</v>
      </c>
      <c r="B503" s="5" t="s">
        <v>1446</v>
      </c>
      <c r="C503" s="4" t="s">
        <v>30</v>
      </c>
      <c r="D503" s="4" t="s">
        <v>1447</v>
      </c>
      <c r="E503" s="4" t="s">
        <v>1448</v>
      </c>
      <c r="F503" s="6">
        <f>1</f>
        <v>1</v>
      </c>
      <c r="G503" s="4" t="s">
        <v>25</v>
      </c>
      <c r="H503" s="7">
        <v>467.88</v>
      </c>
      <c r="I503" s="7">
        <v>467.88</v>
      </c>
      <c r="J503" s="8">
        <v>0.25</v>
      </c>
      <c r="K503" s="9">
        <f>584.85</f>
        <v>584.85</v>
      </c>
      <c r="L503" s="9">
        <f>584.85</f>
        <v>584.85</v>
      </c>
      <c r="M503" s="4"/>
      <c r="N503" s="10">
        <v>1</v>
      </c>
      <c r="O503" s="4" t="s">
        <v>26</v>
      </c>
      <c r="P503" s="11">
        <v>1</v>
      </c>
      <c r="Q503" s="9">
        <f>584.85</f>
        <v>584.85</v>
      </c>
    </row>
    <row r="504" spans="1:17" ht="45" customHeight="1" x14ac:dyDescent="0.25">
      <c r="A504" s="4" t="s">
        <v>20</v>
      </c>
      <c r="B504" s="5" t="s">
        <v>1449</v>
      </c>
      <c r="C504" s="4" t="s">
        <v>22</v>
      </c>
      <c r="D504" s="4" t="s">
        <v>1450</v>
      </c>
      <c r="E504" s="4" t="s">
        <v>1451</v>
      </c>
      <c r="F504" s="6">
        <f>1</f>
        <v>1</v>
      </c>
      <c r="G504" s="4" t="s">
        <v>25</v>
      </c>
      <c r="H504" s="7">
        <v>2090.5500000000002</v>
      </c>
      <c r="I504" s="7">
        <v>2090.5500000000002</v>
      </c>
      <c r="J504" s="8">
        <v>0.25</v>
      </c>
      <c r="K504" s="9">
        <f>2613.19</f>
        <v>2613.19</v>
      </c>
      <c r="L504" s="9">
        <f>2613.19</f>
        <v>2613.19</v>
      </c>
      <c r="M504" s="4"/>
      <c r="N504" s="10">
        <v>1</v>
      </c>
      <c r="O504" s="4" t="s">
        <v>26</v>
      </c>
      <c r="P504" s="11">
        <v>1</v>
      </c>
      <c r="Q504" s="9">
        <f>2613.19</f>
        <v>2613.19</v>
      </c>
    </row>
    <row r="505" spans="1:17" ht="45" customHeight="1" x14ac:dyDescent="0.25">
      <c r="A505" s="4" t="s">
        <v>17</v>
      </c>
      <c r="B505" s="5" t="s">
        <v>1452</v>
      </c>
      <c r="C505" s="4"/>
      <c r="D505" s="4"/>
      <c r="E505" s="4" t="s">
        <v>1453</v>
      </c>
      <c r="F505" s="6"/>
      <c r="G505" s="4"/>
      <c r="H505" s="7"/>
      <c r="I505" s="7"/>
      <c r="J505" s="8"/>
      <c r="K505" s="9"/>
      <c r="L505" s="9">
        <f>62791.18</f>
        <v>62791.18</v>
      </c>
      <c r="M505" s="4"/>
      <c r="N505" s="10"/>
      <c r="O505" s="4"/>
      <c r="P505" s="11"/>
      <c r="Q505" s="9"/>
    </row>
    <row r="506" spans="1:17" ht="45" customHeight="1" x14ac:dyDescent="0.25">
      <c r="A506" s="4" t="s">
        <v>20</v>
      </c>
      <c r="B506" s="5" t="s">
        <v>1454</v>
      </c>
      <c r="C506" s="4" t="s">
        <v>22</v>
      </c>
      <c r="D506" s="4" t="s">
        <v>1455</v>
      </c>
      <c r="E506" s="4" t="s">
        <v>1456</v>
      </c>
      <c r="F506" s="6">
        <f>1</f>
        <v>1</v>
      </c>
      <c r="G506" s="4" t="s">
        <v>25</v>
      </c>
      <c r="H506" s="7">
        <v>4743.1400000000003</v>
      </c>
      <c r="I506" s="7">
        <v>4743.1400000000003</v>
      </c>
      <c r="J506" s="8">
        <v>0.25</v>
      </c>
      <c r="K506" s="9">
        <f>5928.93</f>
        <v>5928.93</v>
      </c>
      <c r="L506" s="9">
        <f>5928.93</f>
        <v>5928.93</v>
      </c>
      <c r="M506" s="4"/>
      <c r="N506" s="10">
        <v>1</v>
      </c>
      <c r="O506" s="4" t="s">
        <v>26</v>
      </c>
      <c r="P506" s="11">
        <v>1</v>
      </c>
      <c r="Q506" s="9">
        <f>5928.93</f>
        <v>5928.93</v>
      </c>
    </row>
    <row r="507" spans="1:17" ht="45" customHeight="1" x14ac:dyDescent="0.25">
      <c r="A507" s="4" t="s">
        <v>20</v>
      </c>
      <c r="B507" s="5" t="s">
        <v>1457</v>
      </c>
      <c r="C507" s="4" t="s">
        <v>22</v>
      </c>
      <c r="D507" s="4" t="s">
        <v>1458</v>
      </c>
      <c r="E507" s="4" t="s">
        <v>1459</v>
      </c>
      <c r="F507" s="6">
        <f>48</f>
        <v>48</v>
      </c>
      <c r="G507" s="4" t="s">
        <v>25</v>
      </c>
      <c r="H507" s="7">
        <v>59.33</v>
      </c>
      <c r="I507" s="7">
        <v>59.32</v>
      </c>
      <c r="J507" s="8">
        <v>0.25</v>
      </c>
      <c r="K507" s="9">
        <f>74.15</f>
        <v>74.150000000000006</v>
      </c>
      <c r="L507" s="9">
        <f>3559.2</f>
        <v>3559.2</v>
      </c>
      <c r="M507" s="4"/>
      <c r="N507" s="10">
        <v>1</v>
      </c>
      <c r="O507" s="4" t="s">
        <v>26</v>
      </c>
      <c r="P507" s="11">
        <v>48</v>
      </c>
      <c r="Q507" s="9">
        <f>3559.2</f>
        <v>3559.2</v>
      </c>
    </row>
    <row r="508" spans="1:17" ht="45" customHeight="1" x14ac:dyDescent="0.25">
      <c r="A508" s="4" t="s">
        <v>20</v>
      </c>
      <c r="B508" s="5" t="s">
        <v>1460</v>
      </c>
      <c r="C508" s="4" t="s">
        <v>30</v>
      </c>
      <c r="D508" s="4" t="s">
        <v>1461</v>
      </c>
      <c r="E508" s="4" t="s">
        <v>1462</v>
      </c>
      <c r="F508" s="6">
        <f>2</f>
        <v>2</v>
      </c>
      <c r="G508" s="4" t="s">
        <v>25</v>
      </c>
      <c r="H508" s="7">
        <v>1222.8</v>
      </c>
      <c r="I508" s="7">
        <v>1222.8</v>
      </c>
      <c r="J508" s="8">
        <v>0.25</v>
      </c>
      <c r="K508" s="9">
        <f>1528.5</f>
        <v>1528.5</v>
      </c>
      <c r="L508" s="9">
        <f>3057</f>
        <v>3057</v>
      </c>
      <c r="M508" s="4"/>
      <c r="N508" s="10">
        <v>1</v>
      </c>
      <c r="O508" s="4" t="s">
        <v>26</v>
      </c>
      <c r="P508" s="11">
        <v>2</v>
      </c>
      <c r="Q508" s="9">
        <f>3057</f>
        <v>3057</v>
      </c>
    </row>
    <row r="509" spans="1:17" ht="45" customHeight="1" x14ac:dyDescent="0.25">
      <c r="A509" s="4" t="s">
        <v>20</v>
      </c>
      <c r="B509" s="5" t="s">
        <v>1463</v>
      </c>
      <c r="C509" s="4" t="s">
        <v>22</v>
      </c>
      <c r="D509" s="4" t="s">
        <v>1464</v>
      </c>
      <c r="E509" s="4" t="s">
        <v>1465</v>
      </c>
      <c r="F509" s="6">
        <f>1</f>
        <v>1</v>
      </c>
      <c r="G509" s="4" t="s">
        <v>25</v>
      </c>
      <c r="H509" s="7">
        <v>150.5</v>
      </c>
      <c r="I509" s="7">
        <v>150.49</v>
      </c>
      <c r="J509" s="8">
        <v>0.25</v>
      </c>
      <c r="K509" s="9">
        <f>188.11</f>
        <v>188.11</v>
      </c>
      <c r="L509" s="9">
        <f>188.11</f>
        <v>188.11</v>
      </c>
      <c r="M509" s="4"/>
      <c r="N509" s="10">
        <v>1</v>
      </c>
      <c r="O509" s="4" t="s">
        <v>26</v>
      </c>
      <c r="P509" s="11">
        <v>1</v>
      </c>
      <c r="Q509" s="9">
        <f>188.11</f>
        <v>188.11</v>
      </c>
    </row>
    <row r="510" spans="1:17" ht="45" customHeight="1" x14ac:dyDescent="0.25">
      <c r="A510" s="4" t="s">
        <v>20</v>
      </c>
      <c r="B510" s="5" t="s">
        <v>1466</v>
      </c>
      <c r="C510" s="4" t="s">
        <v>22</v>
      </c>
      <c r="D510" s="4" t="s">
        <v>1467</v>
      </c>
      <c r="E510" s="4" t="s">
        <v>1468</v>
      </c>
      <c r="F510" s="6">
        <f>2</f>
        <v>2</v>
      </c>
      <c r="G510" s="4" t="s">
        <v>25</v>
      </c>
      <c r="H510" s="7">
        <v>30.56</v>
      </c>
      <c r="I510" s="7">
        <v>30.55</v>
      </c>
      <c r="J510" s="8">
        <v>0.25</v>
      </c>
      <c r="K510" s="9">
        <f>38.19</f>
        <v>38.19</v>
      </c>
      <c r="L510" s="9">
        <f>76.38</f>
        <v>76.38</v>
      </c>
      <c r="M510" s="4"/>
      <c r="N510" s="10">
        <v>1</v>
      </c>
      <c r="O510" s="4" t="s">
        <v>26</v>
      </c>
      <c r="P510" s="11">
        <v>2</v>
      </c>
      <c r="Q510" s="9">
        <f>76.38</f>
        <v>76.38</v>
      </c>
    </row>
    <row r="511" spans="1:17" ht="45" customHeight="1" x14ac:dyDescent="0.25">
      <c r="A511" s="4" t="s">
        <v>20</v>
      </c>
      <c r="B511" s="5" t="s">
        <v>1469</v>
      </c>
      <c r="C511" s="4" t="s">
        <v>22</v>
      </c>
      <c r="D511" s="4" t="s">
        <v>1470</v>
      </c>
      <c r="E511" s="4" t="s">
        <v>1471</v>
      </c>
      <c r="F511" s="6">
        <f>1</f>
        <v>1</v>
      </c>
      <c r="G511" s="4" t="s">
        <v>25</v>
      </c>
      <c r="H511" s="7">
        <v>194.75</v>
      </c>
      <c r="I511" s="7">
        <v>194.74</v>
      </c>
      <c r="J511" s="8">
        <v>0.25</v>
      </c>
      <c r="K511" s="9">
        <f>243.43</f>
        <v>243.43</v>
      </c>
      <c r="L511" s="9">
        <f>243.43</f>
        <v>243.43</v>
      </c>
      <c r="M511" s="4"/>
      <c r="N511" s="10">
        <v>1</v>
      </c>
      <c r="O511" s="4" t="s">
        <v>26</v>
      </c>
      <c r="P511" s="11">
        <v>1</v>
      </c>
      <c r="Q511" s="9">
        <f>243.43</f>
        <v>243.43</v>
      </c>
    </row>
    <row r="512" spans="1:17" ht="45" customHeight="1" x14ac:dyDescent="0.25">
      <c r="A512" s="4" t="s">
        <v>20</v>
      </c>
      <c r="B512" s="5" t="s">
        <v>1472</v>
      </c>
      <c r="C512" s="4" t="s">
        <v>30</v>
      </c>
      <c r="D512" s="4" t="s">
        <v>1473</v>
      </c>
      <c r="E512" s="4" t="s">
        <v>1474</v>
      </c>
      <c r="F512" s="6">
        <f>1</f>
        <v>1</v>
      </c>
      <c r="G512" s="4" t="s">
        <v>25</v>
      </c>
      <c r="H512" s="7">
        <v>1426.45</v>
      </c>
      <c r="I512" s="7">
        <v>1426.45</v>
      </c>
      <c r="J512" s="8">
        <v>0.25</v>
      </c>
      <c r="K512" s="9">
        <f>1783.06</f>
        <v>1783.06</v>
      </c>
      <c r="L512" s="9">
        <f>1783.06</f>
        <v>1783.06</v>
      </c>
      <c r="M512" s="4"/>
      <c r="N512" s="10">
        <v>1</v>
      </c>
      <c r="O512" s="4" t="s">
        <v>26</v>
      </c>
      <c r="P512" s="11">
        <v>1</v>
      </c>
      <c r="Q512" s="9">
        <f>1783.06</f>
        <v>1783.06</v>
      </c>
    </row>
    <row r="513" spans="1:17" ht="45" customHeight="1" x14ac:dyDescent="0.25">
      <c r="A513" s="4" t="s">
        <v>20</v>
      </c>
      <c r="B513" s="5" t="s">
        <v>1475</v>
      </c>
      <c r="C513" s="4" t="s">
        <v>22</v>
      </c>
      <c r="D513" s="4" t="s">
        <v>1476</v>
      </c>
      <c r="E513" s="4" t="s">
        <v>1477</v>
      </c>
      <c r="F513" s="6">
        <f>1</f>
        <v>1</v>
      </c>
      <c r="G513" s="4" t="s">
        <v>25</v>
      </c>
      <c r="H513" s="7">
        <v>37.51</v>
      </c>
      <c r="I513" s="7">
        <v>37.49</v>
      </c>
      <c r="J513" s="8">
        <v>0.25</v>
      </c>
      <c r="K513" s="9">
        <f>46.86</f>
        <v>46.86</v>
      </c>
      <c r="L513" s="9">
        <f>46.86</f>
        <v>46.86</v>
      </c>
      <c r="M513" s="4"/>
      <c r="N513" s="10">
        <v>1</v>
      </c>
      <c r="O513" s="4" t="s">
        <v>26</v>
      </c>
      <c r="P513" s="11">
        <v>1</v>
      </c>
      <c r="Q513" s="9">
        <f>46.86</f>
        <v>46.86</v>
      </c>
    </row>
    <row r="514" spans="1:17" ht="45" customHeight="1" x14ac:dyDescent="0.25">
      <c r="A514" s="4" t="s">
        <v>20</v>
      </c>
      <c r="B514" s="5" t="s">
        <v>1478</v>
      </c>
      <c r="C514" s="4" t="s">
        <v>30</v>
      </c>
      <c r="D514" s="4" t="s">
        <v>1479</v>
      </c>
      <c r="E514" s="4" t="s">
        <v>1480</v>
      </c>
      <c r="F514" s="6">
        <f>32</f>
        <v>32</v>
      </c>
      <c r="G514" s="4" t="s">
        <v>25</v>
      </c>
      <c r="H514" s="7">
        <v>13.13</v>
      </c>
      <c r="I514" s="7">
        <v>13.13</v>
      </c>
      <c r="J514" s="8">
        <v>0.25</v>
      </c>
      <c r="K514" s="9">
        <f>16.41</f>
        <v>16.41</v>
      </c>
      <c r="L514" s="9">
        <f>525.12</f>
        <v>525.12</v>
      </c>
      <c r="M514" s="4"/>
      <c r="N514" s="10">
        <v>1</v>
      </c>
      <c r="O514" s="4" t="s">
        <v>26</v>
      </c>
      <c r="P514" s="11">
        <v>32</v>
      </c>
      <c r="Q514" s="9">
        <f>525.12</f>
        <v>525.12</v>
      </c>
    </row>
    <row r="515" spans="1:17" ht="45" customHeight="1" x14ac:dyDescent="0.25">
      <c r="A515" s="4" t="s">
        <v>20</v>
      </c>
      <c r="B515" s="5" t="s">
        <v>1481</v>
      </c>
      <c r="C515" s="4" t="s">
        <v>22</v>
      </c>
      <c r="D515" s="4" t="s">
        <v>1199</v>
      </c>
      <c r="E515" s="4" t="s">
        <v>1200</v>
      </c>
      <c r="F515" s="6">
        <f>500</f>
        <v>500</v>
      </c>
      <c r="G515" s="4" t="s">
        <v>25</v>
      </c>
      <c r="H515" s="7">
        <v>2.02</v>
      </c>
      <c r="I515" s="7">
        <v>2</v>
      </c>
      <c r="J515" s="8">
        <v>0.25</v>
      </c>
      <c r="K515" s="9">
        <f>2.5</f>
        <v>2.5</v>
      </c>
      <c r="L515" s="9">
        <f>1250</f>
        <v>1250</v>
      </c>
      <c r="M515" s="4"/>
      <c r="N515" s="10">
        <v>1</v>
      </c>
      <c r="O515" s="4" t="s">
        <v>26</v>
      </c>
      <c r="P515" s="11">
        <v>500</v>
      </c>
      <c r="Q515" s="9">
        <f>1250</f>
        <v>1250</v>
      </c>
    </row>
    <row r="516" spans="1:17" ht="45" customHeight="1" x14ac:dyDescent="0.25">
      <c r="A516" s="4" t="s">
        <v>20</v>
      </c>
      <c r="B516" s="5" t="s">
        <v>1482</v>
      </c>
      <c r="C516" s="4" t="s">
        <v>22</v>
      </c>
      <c r="D516" s="4" t="s">
        <v>1224</v>
      </c>
      <c r="E516" s="4" t="s">
        <v>1225</v>
      </c>
      <c r="F516" s="6">
        <f>72</f>
        <v>72</v>
      </c>
      <c r="G516" s="4" t="s">
        <v>25</v>
      </c>
      <c r="H516" s="7">
        <v>1.47</v>
      </c>
      <c r="I516" s="7">
        <v>1.45</v>
      </c>
      <c r="J516" s="8">
        <v>0.25</v>
      </c>
      <c r="K516" s="9">
        <f>1.81</f>
        <v>1.81</v>
      </c>
      <c r="L516" s="9">
        <f>130.32</f>
        <v>130.32</v>
      </c>
      <c r="M516" s="4"/>
      <c r="N516" s="10">
        <v>1</v>
      </c>
      <c r="O516" s="4" t="s">
        <v>26</v>
      </c>
      <c r="P516" s="11">
        <v>72</v>
      </c>
      <c r="Q516" s="9">
        <f>130.32</f>
        <v>130.32</v>
      </c>
    </row>
    <row r="517" spans="1:17" ht="45" customHeight="1" x14ac:dyDescent="0.25">
      <c r="A517" s="4" t="s">
        <v>20</v>
      </c>
      <c r="B517" s="5" t="s">
        <v>1483</v>
      </c>
      <c r="C517" s="4" t="s">
        <v>22</v>
      </c>
      <c r="D517" s="4" t="s">
        <v>1484</v>
      </c>
      <c r="E517" s="4" t="s">
        <v>1485</v>
      </c>
      <c r="F517" s="6">
        <f>272</f>
        <v>272</v>
      </c>
      <c r="G517" s="4" t="s">
        <v>25</v>
      </c>
      <c r="H517" s="7">
        <v>2.69</v>
      </c>
      <c r="I517" s="7">
        <v>2.67</v>
      </c>
      <c r="J517" s="8">
        <v>0.25</v>
      </c>
      <c r="K517" s="9">
        <f>3.34</f>
        <v>3.34</v>
      </c>
      <c r="L517" s="9">
        <f>908.48</f>
        <v>908.48</v>
      </c>
      <c r="M517" s="4"/>
      <c r="N517" s="10">
        <v>1</v>
      </c>
      <c r="O517" s="4" t="s">
        <v>26</v>
      </c>
      <c r="P517" s="11">
        <v>272</v>
      </c>
      <c r="Q517" s="9">
        <f>908.48</f>
        <v>908.48</v>
      </c>
    </row>
    <row r="518" spans="1:17" ht="45" customHeight="1" x14ac:dyDescent="0.25">
      <c r="A518" s="4" t="s">
        <v>20</v>
      </c>
      <c r="B518" s="5" t="s">
        <v>1486</v>
      </c>
      <c r="C518" s="4" t="s">
        <v>22</v>
      </c>
      <c r="D518" s="4" t="s">
        <v>1230</v>
      </c>
      <c r="E518" s="4" t="s">
        <v>1231</v>
      </c>
      <c r="F518" s="6">
        <f>316</f>
        <v>316</v>
      </c>
      <c r="G518" s="4" t="s">
        <v>25</v>
      </c>
      <c r="H518" s="7">
        <v>0.88</v>
      </c>
      <c r="I518" s="7">
        <v>0.86</v>
      </c>
      <c r="J518" s="8">
        <v>0.25</v>
      </c>
      <c r="K518" s="9">
        <f>1.08</f>
        <v>1.08</v>
      </c>
      <c r="L518" s="9">
        <f>341.28</f>
        <v>341.28</v>
      </c>
      <c r="M518" s="4"/>
      <c r="N518" s="10">
        <v>1</v>
      </c>
      <c r="O518" s="4" t="s">
        <v>26</v>
      </c>
      <c r="P518" s="11">
        <v>316</v>
      </c>
      <c r="Q518" s="9">
        <f>341.28</f>
        <v>341.28</v>
      </c>
    </row>
    <row r="519" spans="1:17" ht="45" customHeight="1" x14ac:dyDescent="0.25">
      <c r="A519" s="4" t="s">
        <v>20</v>
      </c>
      <c r="B519" s="5" t="s">
        <v>1487</v>
      </c>
      <c r="C519" s="4" t="s">
        <v>30</v>
      </c>
      <c r="D519" s="4" t="s">
        <v>1488</v>
      </c>
      <c r="E519" s="4" t="s">
        <v>1489</v>
      </c>
      <c r="F519" s="6">
        <f>39.24</f>
        <v>39.24</v>
      </c>
      <c r="G519" s="4" t="s">
        <v>107</v>
      </c>
      <c r="H519" s="7">
        <v>12.38</v>
      </c>
      <c r="I519" s="7">
        <v>12.38</v>
      </c>
      <c r="J519" s="8">
        <v>0.25</v>
      </c>
      <c r="K519" s="9">
        <f>15.48</f>
        <v>15.48</v>
      </c>
      <c r="L519" s="9">
        <f>607.44</f>
        <v>607.44000000000005</v>
      </c>
      <c r="M519" s="4"/>
      <c r="N519" s="10">
        <v>1</v>
      </c>
      <c r="O519" s="4" t="s">
        <v>26</v>
      </c>
      <c r="P519" s="11">
        <v>39.24</v>
      </c>
      <c r="Q519" s="9">
        <f>607.44</f>
        <v>607.44000000000005</v>
      </c>
    </row>
    <row r="520" spans="1:17" ht="45" customHeight="1" x14ac:dyDescent="0.25">
      <c r="A520" s="4" t="s">
        <v>20</v>
      </c>
      <c r="B520" s="5" t="s">
        <v>1490</v>
      </c>
      <c r="C520" s="4" t="s">
        <v>30</v>
      </c>
      <c r="D520" s="4" t="s">
        <v>1491</v>
      </c>
      <c r="E520" s="4" t="s">
        <v>1492</v>
      </c>
      <c r="F520" s="6">
        <f>72</f>
        <v>72</v>
      </c>
      <c r="G520" s="4" t="s">
        <v>25</v>
      </c>
      <c r="H520" s="7">
        <v>29.21</v>
      </c>
      <c r="I520" s="7">
        <v>29.21</v>
      </c>
      <c r="J520" s="8">
        <v>0.25</v>
      </c>
      <c r="K520" s="9">
        <f>36.51</f>
        <v>36.51</v>
      </c>
      <c r="L520" s="9">
        <f>2628.72</f>
        <v>2628.72</v>
      </c>
      <c r="M520" s="4"/>
      <c r="N520" s="10">
        <v>1</v>
      </c>
      <c r="O520" s="4" t="s">
        <v>26</v>
      </c>
      <c r="P520" s="11">
        <v>72</v>
      </c>
      <c r="Q520" s="9">
        <f>2628.72</f>
        <v>2628.72</v>
      </c>
    </row>
    <row r="521" spans="1:17" ht="45" customHeight="1" x14ac:dyDescent="0.25">
      <c r="A521" s="4" t="s">
        <v>20</v>
      </c>
      <c r="B521" s="5" t="s">
        <v>1493</v>
      </c>
      <c r="C521" s="4" t="s">
        <v>22</v>
      </c>
      <c r="D521" s="4" t="s">
        <v>1494</v>
      </c>
      <c r="E521" s="4" t="s">
        <v>1495</v>
      </c>
      <c r="F521" s="6">
        <f>6</f>
        <v>6</v>
      </c>
      <c r="G521" s="4" t="s">
        <v>25</v>
      </c>
      <c r="H521" s="7">
        <v>458.86</v>
      </c>
      <c r="I521" s="7">
        <v>458.84</v>
      </c>
      <c r="J521" s="8">
        <v>0.25</v>
      </c>
      <c r="K521" s="9">
        <f>573.55</f>
        <v>573.54999999999995</v>
      </c>
      <c r="L521" s="9">
        <f>3441.3</f>
        <v>3441.3</v>
      </c>
      <c r="M521" s="4"/>
      <c r="N521" s="10">
        <v>1</v>
      </c>
      <c r="O521" s="4" t="s">
        <v>26</v>
      </c>
      <c r="P521" s="11">
        <v>6</v>
      </c>
      <c r="Q521" s="9">
        <f>3441.3</f>
        <v>3441.3</v>
      </c>
    </row>
    <row r="522" spans="1:17" ht="45" customHeight="1" x14ac:dyDescent="0.25">
      <c r="A522" s="4" t="s">
        <v>20</v>
      </c>
      <c r="B522" s="5" t="s">
        <v>1496</v>
      </c>
      <c r="C522" s="4" t="s">
        <v>30</v>
      </c>
      <c r="D522" s="4" t="s">
        <v>1497</v>
      </c>
      <c r="E522" s="4" t="s">
        <v>1498</v>
      </c>
      <c r="F522" s="6">
        <f>22</f>
        <v>22</v>
      </c>
      <c r="G522" s="4" t="s">
        <v>25</v>
      </c>
      <c r="H522" s="7">
        <v>65.239999999999995</v>
      </c>
      <c r="I522" s="7">
        <v>65.239999999999995</v>
      </c>
      <c r="J522" s="8">
        <v>0.25</v>
      </c>
      <c r="K522" s="9">
        <f>81.55</f>
        <v>81.55</v>
      </c>
      <c r="L522" s="9">
        <f>1794.1</f>
        <v>1794.1</v>
      </c>
      <c r="M522" s="4"/>
      <c r="N522" s="10">
        <v>1</v>
      </c>
      <c r="O522" s="4" t="s">
        <v>26</v>
      </c>
      <c r="P522" s="11">
        <v>22</v>
      </c>
      <c r="Q522" s="9">
        <f>1794.1</f>
        <v>1794.1</v>
      </c>
    </row>
    <row r="523" spans="1:17" ht="45" customHeight="1" x14ac:dyDescent="0.25">
      <c r="A523" s="4" t="s">
        <v>20</v>
      </c>
      <c r="B523" s="5" t="s">
        <v>1499</v>
      </c>
      <c r="C523" s="4" t="s">
        <v>22</v>
      </c>
      <c r="D523" s="4" t="s">
        <v>1500</v>
      </c>
      <c r="E523" s="4" t="s">
        <v>1501</v>
      </c>
      <c r="F523" s="6">
        <f>11</f>
        <v>11</v>
      </c>
      <c r="G523" s="4" t="s">
        <v>25</v>
      </c>
      <c r="H523" s="7">
        <v>30.72</v>
      </c>
      <c r="I523" s="7">
        <v>30.71</v>
      </c>
      <c r="J523" s="8">
        <v>0.25</v>
      </c>
      <c r="K523" s="9">
        <f>38.39</f>
        <v>38.39</v>
      </c>
      <c r="L523" s="9">
        <f>422.29</f>
        <v>422.29</v>
      </c>
      <c r="M523" s="4"/>
      <c r="N523" s="10">
        <v>1</v>
      </c>
      <c r="O523" s="4" t="s">
        <v>26</v>
      </c>
      <c r="P523" s="11">
        <v>11</v>
      </c>
      <c r="Q523" s="9">
        <f>422.29</f>
        <v>422.29</v>
      </c>
    </row>
    <row r="524" spans="1:17" ht="45" customHeight="1" x14ac:dyDescent="0.25">
      <c r="A524" s="4" t="s">
        <v>20</v>
      </c>
      <c r="B524" s="5" t="s">
        <v>1502</v>
      </c>
      <c r="C524" s="4" t="s">
        <v>22</v>
      </c>
      <c r="D524" s="4" t="s">
        <v>1503</v>
      </c>
      <c r="E524" s="4" t="s">
        <v>1504</v>
      </c>
      <c r="F524" s="6">
        <f>79.7</f>
        <v>79.7</v>
      </c>
      <c r="G524" s="4" t="s">
        <v>46</v>
      </c>
      <c r="H524" s="7">
        <v>147.91999999999999</v>
      </c>
      <c r="I524" s="7">
        <v>147.88</v>
      </c>
      <c r="J524" s="8">
        <v>0.25</v>
      </c>
      <c r="K524" s="9">
        <f>184.85</f>
        <v>184.85</v>
      </c>
      <c r="L524" s="9">
        <f>14732.55</f>
        <v>14732.55</v>
      </c>
      <c r="M524" s="4"/>
      <c r="N524" s="10">
        <v>1</v>
      </c>
      <c r="O524" s="4" t="s">
        <v>26</v>
      </c>
      <c r="P524" s="11">
        <v>79.7</v>
      </c>
      <c r="Q524" s="9">
        <f>14732.55</f>
        <v>14732.55</v>
      </c>
    </row>
    <row r="525" spans="1:17" ht="45" customHeight="1" x14ac:dyDescent="0.25">
      <c r="A525" s="4" t="s">
        <v>20</v>
      </c>
      <c r="B525" s="5" t="s">
        <v>1505</v>
      </c>
      <c r="C525" s="4" t="s">
        <v>30</v>
      </c>
      <c r="D525" s="4" t="s">
        <v>1382</v>
      </c>
      <c r="E525" s="4" t="s">
        <v>1383</v>
      </c>
      <c r="F525" s="6">
        <f>178</f>
        <v>178</v>
      </c>
      <c r="G525" s="4" t="s">
        <v>46</v>
      </c>
      <c r="H525" s="7">
        <v>29.41</v>
      </c>
      <c r="I525" s="7">
        <v>29.41</v>
      </c>
      <c r="J525" s="8">
        <v>0.25</v>
      </c>
      <c r="K525" s="9">
        <f>36.76</f>
        <v>36.76</v>
      </c>
      <c r="L525" s="9">
        <f>6543.28</f>
        <v>6543.28</v>
      </c>
      <c r="M525" s="4"/>
      <c r="N525" s="10">
        <v>1</v>
      </c>
      <c r="O525" s="4" t="s">
        <v>26</v>
      </c>
      <c r="P525" s="11">
        <v>178</v>
      </c>
      <c r="Q525" s="9">
        <f>6543.28</f>
        <v>6543.28</v>
      </c>
    </row>
    <row r="526" spans="1:17" ht="45" customHeight="1" x14ac:dyDescent="0.25">
      <c r="A526" s="4" t="s">
        <v>20</v>
      </c>
      <c r="B526" s="5" t="s">
        <v>1506</v>
      </c>
      <c r="C526" s="4" t="s">
        <v>30</v>
      </c>
      <c r="D526" s="4" t="s">
        <v>1507</v>
      </c>
      <c r="E526" s="4" t="s">
        <v>1508</v>
      </c>
      <c r="F526" s="6">
        <f>35.6</f>
        <v>35.6</v>
      </c>
      <c r="G526" s="4" t="s">
        <v>46</v>
      </c>
      <c r="H526" s="7">
        <v>36.53</v>
      </c>
      <c r="I526" s="7">
        <v>36.53</v>
      </c>
      <c r="J526" s="8">
        <v>0.25</v>
      </c>
      <c r="K526" s="9">
        <f>45.66</f>
        <v>45.66</v>
      </c>
      <c r="L526" s="9">
        <f>1625.5</f>
        <v>1625.5</v>
      </c>
      <c r="M526" s="4"/>
      <c r="N526" s="10">
        <v>1</v>
      </c>
      <c r="O526" s="4" t="s">
        <v>26</v>
      </c>
      <c r="P526" s="11">
        <v>35.6</v>
      </c>
      <c r="Q526" s="9">
        <f>1625.5</f>
        <v>1625.5</v>
      </c>
    </row>
    <row r="527" spans="1:17" ht="45" customHeight="1" x14ac:dyDescent="0.25">
      <c r="A527" s="4" t="s">
        <v>20</v>
      </c>
      <c r="B527" s="5" t="s">
        <v>1509</v>
      </c>
      <c r="C527" s="4" t="s">
        <v>22</v>
      </c>
      <c r="D527" s="4" t="s">
        <v>1510</v>
      </c>
      <c r="E527" s="4" t="s">
        <v>1511</v>
      </c>
      <c r="F527" s="6">
        <f>1</f>
        <v>1</v>
      </c>
      <c r="G527" s="4" t="s">
        <v>25</v>
      </c>
      <c r="H527" s="7">
        <v>125.27</v>
      </c>
      <c r="I527" s="7">
        <v>125.24</v>
      </c>
      <c r="J527" s="8">
        <v>0.25</v>
      </c>
      <c r="K527" s="9">
        <f>156.55</f>
        <v>156.55000000000001</v>
      </c>
      <c r="L527" s="9">
        <f>156.55</f>
        <v>156.55000000000001</v>
      </c>
      <c r="M527" s="4"/>
      <c r="N527" s="10">
        <v>1</v>
      </c>
      <c r="O527" s="4" t="s">
        <v>26</v>
      </c>
      <c r="P527" s="11">
        <v>1</v>
      </c>
      <c r="Q527" s="9">
        <f>156.55</f>
        <v>156.55000000000001</v>
      </c>
    </row>
    <row r="528" spans="1:17" ht="45" customHeight="1" x14ac:dyDescent="0.25">
      <c r="A528" s="4" t="s">
        <v>20</v>
      </c>
      <c r="B528" s="5" t="s">
        <v>1512</v>
      </c>
      <c r="C528" s="4" t="s">
        <v>22</v>
      </c>
      <c r="D528" s="4" t="s">
        <v>1370</v>
      </c>
      <c r="E528" s="4" t="s">
        <v>1371</v>
      </c>
      <c r="F528" s="6">
        <f>25</f>
        <v>25</v>
      </c>
      <c r="G528" s="4" t="s">
        <v>25</v>
      </c>
      <c r="H528" s="7">
        <v>8.99</v>
      </c>
      <c r="I528" s="7">
        <v>8.98</v>
      </c>
      <c r="J528" s="8">
        <v>0.25</v>
      </c>
      <c r="K528" s="9">
        <f>11.23</f>
        <v>11.23</v>
      </c>
      <c r="L528" s="9">
        <f>280.75</f>
        <v>280.75</v>
      </c>
      <c r="M528" s="4"/>
      <c r="N528" s="10">
        <v>1</v>
      </c>
      <c r="O528" s="4" t="s">
        <v>26</v>
      </c>
      <c r="P528" s="11">
        <v>25</v>
      </c>
      <c r="Q528" s="9">
        <f>280.75</f>
        <v>280.75</v>
      </c>
    </row>
    <row r="529" spans="1:17" ht="45" customHeight="1" x14ac:dyDescent="0.25">
      <c r="A529" s="4" t="s">
        <v>20</v>
      </c>
      <c r="B529" s="5" t="s">
        <v>1513</v>
      </c>
      <c r="C529" s="4" t="s">
        <v>22</v>
      </c>
      <c r="D529" s="4" t="s">
        <v>1514</v>
      </c>
      <c r="E529" s="4" t="s">
        <v>1515</v>
      </c>
      <c r="F529" s="6">
        <f>1</f>
        <v>1</v>
      </c>
      <c r="G529" s="4" t="s">
        <v>25</v>
      </c>
      <c r="H529" s="7">
        <v>17.55</v>
      </c>
      <c r="I529" s="7">
        <v>17.54</v>
      </c>
      <c r="J529" s="8">
        <v>0.25</v>
      </c>
      <c r="K529" s="9">
        <f>21.93</f>
        <v>21.93</v>
      </c>
      <c r="L529" s="9">
        <f>21.93</f>
        <v>21.93</v>
      </c>
      <c r="M529" s="4"/>
      <c r="N529" s="10">
        <v>1</v>
      </c>
      <c r="O529" s="4" t="s">
        <v>26</v>
      </c>
      <c r="P529" s="11">
        <v>1</v>
      </c>
      <c r="Q529" s="9">
        <f>21.93</f>
        <v>21.93</v>
      </c>
    </row>
    <row r="530" spans="1:17" ht="45" customHeight="1" x14ac:dyDescent="0.25">
      <c r="A530" s="4" t="s">
        <v>20</v>
      </c>
      <c r="B530" s="5" t="s">
        <v>1516</v>
      </c>
      <c r="C530" s="4" t="s">
        <v>22</v>
      </c>
      <c r="D530" s="4" t="s">
        <v>1379</v>
      </c>
      <c r="E530" s="4" t="s">
        <v>1380</v>
      </c>
      <c r="F530" s="6">
        <f>2</f>
        <v>2</v>
      </c>
      <c r="G530" s="4" t="s">
        <v>25</v>
      </c>
      <c r="H530" s="7">
        <v>18.04</v>
      </c>
      <c r="I530" s="7">
        <v>18.02</v>
      </c>
      <c r="J530" s="8">
        <v>0.25</v>
      </c>
      <c r="K530" s="9">
        <f>22.53</f>
        <v>22.53</v>
      </c>
      <c r="L530" s="9">
        <f>45.06</f>
        <v>45.06</v>
      </c>
      <c r="M530" s="4"/>
      <c r="N530" s="10">
        <v>1</v>
      </c>
      <c r="O530" s="4" t="s">
        <v>26</v>
      </c>
      <c r="P530" s="11">
        <v>2</v>
      </c>
      <c r="Q530" s="9">
        <f>45.06</f>
        <v>45.06</v>
      </c>
    </row>
    <row r="531" spans="1:17" ht="45" customHeight="1" x14ac:dyDescent="0.25">
      <c r="A531" s="4" t="s">
        <v>20</v>
      </c>
      <c r="B531" s="5" t="s">
        <v>1517</v>
      </c>
      <c r="C531" s="4" t="s">
        <v>30</v>
      </c>
      <c r="D531" s="4" t="s">
        <v>1518</v>
      </c>
      <c r="E531" s="4" t="s">
        <v>1519</v>
      </c>
      <c r="F531" s="6">
        <f>79.7</f>
        <v>79.7</v>
      </c>
      <c r="G531" s="4" t="s">
        <v>46</v>
      </c>
      <c r="H531" s="7">
        <v>55.64</v>
      </c>
      <c r="I531" s="7">
        <v>55.64</v>
      </c>
      <c r="J531" s="8">
        <v>0.25</v>
      </c>
      <c r="K531" s="9">
        <f>69.55</f>
        <v>69.55</v>
      </c>
      <c r="L531" s="9">
        <f>5543.14</f>
        <v>5543.14</v>
      </c>
      <c r="M531" s="4"/>
      <c r="N531" s="10">
        <v>1</v>
      </c>
      <c r="O531" s="4" t="s">
        <v>26</v>
      </c>
      <c r="P531" s="11">
        <v>79.7</v>
      </c>
      <c r="Q531" s="9">
        <f>5543.14</f>
        <v>5543.14</v>
      </c>
    </row>
    <row r="532" spans="1:17" ht="45" customHeight="1" x14ac:dyDescent="0.25">
      <c r="A532" s="4" t="s">
        <v>20</v>
      </c>
      <c r="B532" s="5" t="s">
        <v>1520</v>
      </c>
      <c r="C532" s="4" t="s">
        <v>30</v>
      </c>
      <c r="D532" s="4" t="s">
        <v>1521</v>
      </c>
      <c r="E532" s="4" t="s">
        <v>1522</v>
      </c>
      <c r="F532" s="6">
        <f>617</f>
        <v>617</v>
      </c>
      <c r="G532" s="4" t="s">
        <v>46</v>
      </c>
      <c r="H532" s="7">
        <v>8.9600000000000009</v>
      </c>
      <c r="I532" s="7">
        <v>8.9600000000000009</v>
      </c>
      <c r="J532" s="8">
        <v>0.25</v>
      </c>
      <c r="K532" s="9">
        <f>11.2</f>
        <v>11.2</v>
      </c>
      <c r="L532" s="9">
        <f>6910.4</f>
        <v>6910.4</v>
      </c>
      <c r="M532" s="4"/>
      <c r="N532" s="10">
        <v>1</v>
      </c>
      <c r="O532" s="4" t="s">
        <v>26</v>
      </c>
      <c r="P532" s="11">
        <v>617</v>
      </c>
      <c r="Q532" s="9">
        <f>6910.4</f>
        <v>6910.4</v>
      </c>
    </row>
    <row r="533" spans="1:17" ht="45" customHeight="1" x14ac:dyDescent="0.25">
      <c r="A533" s="4" t="s">
        <v>17</v>
      </c>
      <c r="B533" s="5" t="s">
        <v>1523</v>
      </c>
      <c r="C533" s="4"/>
      <c r="D533" s="4"/>
      <c r="E533" s="4" t="s">
        <v>1524</v>
      </c>
      <c r="F533" s="6"/>
      <c r="G533" s="4"/>
      <c r="H533" s="7"/>
      <c r="I533" s="7"/>
      <c r="J533" s="8"/>
      <c r="K533" s="9"/>
      <c r="L533" s="9">
        <f>35120.89</f>
        <v>35120.89</v>
      </c>
      <c r="M533" s="4"/>
      <c r="N533" s="10"/>
      <c r="O533" s="4"/>
      <c r="P533" s="11"/>
      <c r="Q533" s="9"/>
    </row>
    <row r="534" spans="1:17" ht="45" customHeight="1" x14ac:dyDescent="0.25">
      <c r="A534" s="4" t="s">
        <v>20</v>
      </c>
      <c r="B534" s="5" t="s">
        <v>1525</v>
      </c>
      <c r="C534" s="4" t="s">
        <v>30</v>
      </c>
      <c r="D534" s="4" t="s">
        <v>1526</v>
      </c>
      <c r="E534" s="4" t="s">
        <v>1527</v>
      </c>
      <c r="F534" s="6">
        <f>15</f>
        <v>15</v>
      </c>
      <c r="G534" s="4" t="s">
        <v>25</v>
      </c>
      <c r="H534" s="7">
        <v>60.78</v>
      </c>
      <c r="I534" s="7">
        <v>60.78</v>
      </c>
      <c r="J534" s="8">
        <v>0.25</v>
      </c>
      <c r="K534" s="9">
        <f>75.98</f>
        <v>75.98</v>
      </c>
      <c r="L534" s="9">
        <f>1139.7</f>
        <v>1139.7</v>
      </c>
      <c r="M534" s="4"/>
      <c r="N534" s="10">
        <v>1</v>
      </c>
      <c r="O534" s="4" t="s">
        <v>26</v>
      </c>
      <c r="P534" s="11">
        <v>15</v>
      </c>
      <c r="Q534" s="9">
        <f>1139.7</f>
        <v>1139.7</v>
      </c>
    </row>
    <row r="535" spans="1:17" ht="45" customHeight="1" x14ac:dyDescent="0.25">
      <c r="A535" s="4" t="s">
        <v>20</v>
      </c>
      <c r="B535" s="5" t="s">
        <v>1528</v>
      </c>
      <c r="C535" s="4" t="s">
        <v>30</v>
      </c>
      <c r="D535" s="4" t="s">
        <v>1529</v>
      </c>
      <c r="E535" s="4" t="s">
        <v>1530</v>
      </c>
      <c r="F535" s="6">
        <f>15</f>
        <v>15</v>
      </c>
      <c r="G535" s="4" t="s">
        <v>25</v>
      </c>
      <c r="H535" s="7">
        <v>103.24</v>
      </c>
      <c r="I535" s="7">
        <v>103.24</v>
      </c>
      <c r="J535" s="8">
        <v>0.25</v>
      </c>
      <c r="K535" s="9">
        <f>129.05</f>
        <v>129.05000000000001</v>
      </c>
      <c r="L535" s="9">
        <f>1935.75</f>
        <v>1935.75</v>
      </c>
      <c r="M535" s="4"/>
      <c r="N535" s="10">
        <v>1</v>
      </c>
      <c r="O535" s="4" t="s">
        <v>26</v>
      </c>
      <c r="P535" s="11">
        <v>15</v>
      </c>
      <c r="Q535" s="9">
        <f>1935.75</f>
        <v>1935.75</v>
      </c>
    </row>
    <row r="536" spans="1:17" ht="45" customHeight="1" x14ac:dyDescent="0.25">
      <c r="A536" s="4" t="s">
        <v>20</v>
      </c>
      <c r="B536" s="5" t="s">
        <v>1531</v>
      </c>
      <c r="C536" s="4" t="s">
        <v>22</v>
      </c>
      <c r="D536" s="4" t="s">
        <v>1532</v>
      </c>
      <c r="E536" s="4" t="s">
        <v>1533</v>
      </c>
      <c r="F536" s="6">
        <f>82</f>
        <v>82</v>
      </c>
      <c r="G536" s="4" t="s">
        <v>25</v>
      </c>
      <c r="H536" s="7">
        <v>19.420000000000002</v>
      </c>
      <c r="I536" s="7">
        <v>19.399999999999999</v>
      </c>
      <c r="J536" s="8">
        <v>0.25</v>
      </c>
      <c r="K536" s="9">
        <f>24.25</f>
        <v>24.25</v>
      </c>
      <c r="L536" s="9">
        <f>1988.5</f>
        <v>1988.5</v>
      </c>
      <c r="M536" s="4"/>
      <c r="N536" s="10">
        <v>1</v>
      </c>
      <c r="O536" s="4" t="s">
        <v>26</v>
      </c>
      <c r="P536" s="11">
        <v>82</v>
      </c>
      <c r="Q536" s="9">
        <f>1988.5</f>
        <v>1988.5</v>
      </c>
    </row>
    <row r="537" spans="1:17" ht="45" customHeight="1" x14ac:dyDescent="0.25">
      <c r="A537" s="4" t="s">
        <v>20</v>
      </c>
      <c r="B537" s="5" t="s">
        <v>1534</v>
      </c>
      <c r="C537" s="4" t="s">
        <v>30</v>
      </c>
      <c r="D537" s="4" t="s">
        <v>1535</v>
      </c>
      <c r="E537" s="4" t="s">
        <v>1536</v>
      </c>
      <c r="F537" s="6">
        <f>267</f>
        <v>267</v>
      </c>
      <c r="G537" s="4" t="s">
        <v>46</v>
      </c>
      <c r="H537" s="7">
        <v>59.82</v>
      </c>
      <c r="I537" s="7">
        <v>59.82</v>
      </c>
      <c r="J537" s="8">
        <v>0.25</v>
      </c>
      <c r="K537" s="9">
        <f>74.78</f>
        <v>74.78</v>
      </c>
      <c r="L537" s="9">
        <f>19966.26</f>
        <v>19966.259999999998</v>
      </c>
      <c r="M537" s="4"/>
      <c r="N537" s="10">
        <v>1</v>
      </c>
      <c r="O537" s="4" t="s">
        <v>26</v>
      </c>
      <c r="P537" s="11">
        <v>267</v>
      </c>
      <c r="Q537" s="9">
        <f>19966.26</f>
        <v>19966.259999999998</v>
      </c>
    </row>
    <row r="538" spans="1:17" ht="45" customHeight="1" x14ac:dyDescent="0.25">
      <c r="A538" s="4" t="s">
        <v>20</v>
      </c>
      <c r="B538" s="5" t="s">
        <v>1537</v>
      </c>
      <c r="C538" s="4" t="s">
        <v>22</v>
      </c>
      <c r="D538" s="4" t="s">
        <v>1538</v>
      </c>
      <c r="E538" s="4" t="s">
        <v>1539</v>
      </c>
      <c r="F538" s="6">
        <f>22</f>
        <v>22</v>
      </c>
      <c r="G538" s="4" t="s">
        <v>25</v>
      </c>
      <c r="H538" s="7">
        <v>38.85</v>
      </c>
      <c r="I538" s="7">
        <v>38.83</v>
      </c>
      <c r="J538" s="8">
        <v>0.25</v>
      </c>
      <c r="K538" s="9">
        <f>48.54</f>
        <v>48.54</v>
      </c>
      <c r="L538" s="9">
        <f>1067.88</f>
        <v>1067.8800000000001</v>
      </c>
      <c r="M538" s="4"/>
      <c r="N538" s="10">
        <v>1</v>
      </c>
      <c r="O538" s="4" t="s">
        <v>26</v>
      </c>
      <c r="P538" s="11">
        <v>22</v>
      </c>
      <c r="Q538" s="9">
        <f>1067.88</f>
        <v>1067.8800000000001</v>
      </c>
    </row>
    <row r="539" spans="1:17" ht="45" customHeight="1" x14ac:dyDescent="0.25">
      <c r="A539" s="4" t="s">
        <v>20</v>
      </c>
      <c r="B539" s="5" t="s">
        <v>1540</v>
      </c>
      <c r="C539" s="4" t="s">
        <v>22</v>
      </c>
      <c r="D539" s="4" t="s">
        <v>1484</v>
      </c>
      <c r="E539" s="4" t="s">
        <v>1485</v>
      </c>
      <c r="F539" s="6">
        <f>364</f>
        <v>364</v>
      </c>
      <c r="G539" s="4" t="s">
        <v>25</v>
      </c>
      <c r="H539" s="7">
        <v>2.69</v>
      </c>
      <c r="I539" s="7">
        <v>2.67</v>
      </c>
      <c r="J539" s="8">
        <v>0.25</v>
      </c>
      <c r="K539" s="9">
        <f>3.34</f>
        <v>3.34</v>
      </c>
      <c r="L539" s="9">
        <f>1215.76</f>
        <v>1215.76</v>
      </c>
      <c r="M539" s="4"/>
      <c r="N539" s="10">
        <v>1</v>
      </c>
      <c r="O539" s="4" t="s">
        <v>26</v>
      </c>
      <c r="P539" s="11">
        <v>364</v>
      </c>
      <c r="Q539" s="9">
        <f>1215.76</f>
        <v>1215.76</v>
      </c>
    </row>
    <row r="540" spans="1:17" ht="45" customHeight="1" x14ac:dyDescent="0.25">
      <c r="A540" s="4" t="s">
        <v>20</v>
      </c>
      <c r="B540" s="5" t="s">
        <v>1541</v>
      </c>
      <c r="C540" s="4" t="s">
        <v>22</v>
      </c>
      <c r="D540" s="4" t="s">
        <v>1230</v>
      </c>
      <c r="E540" s="4" t="s">
        <v>1231</v>
      </c>
      <c r="F540" s="6">
        <f>364</f>
        <v>364</v>
      </c>
      <c r="G540" s="4" t="s">
        <v>25</v>
      </c>
      <c r="H540" s="7">
        <v>0.88</v>
      </c>
      <c r="I540" s="7">
        <v>0.86</v>
      </c>
      <c r="J540" s="8">
        <v>0.25</v>
      </c>
      <c r="K540" s="9">
        <f>1.08</f>
        <v>1.08</v>
      </c>
      <c r="L540" s="9">
        <f>393.12</f>
        <v>393.12</v>
      </c>
      <c r="M540" s="4"/>
      <c r="N540" s="10">
        <v>1</v>
      </c>
      <c r="O540" s="4" t="s">
        <v>26</v>
      </c>
      <c r="P540" s="11">
        <v>364</v>
      </c>
      <c r="Q540" s="9">
        <f>393.12</f>
        <v>393.12</v>
      </c>
    </row>
    <row r="541" spans="1:17" ht="45" customHeight="1" x14ac:dyDescent="0.25">
      <c r="A541" s="4" t="s">
        <v>20</v>
      </c>
      <c r="B541" s="5" t="s">
        <v>1542</v>
      </c>
      <c r="C541" s="4" t="s">
        <v>22</v>
      </c>
      <c r="D541" s="4" t="s">
        <v>1224</v>
      </c>
      <c r="E541" s="4" t="s">
        <v>1225</v>
      </c>
      <c r="F541" s="6">
        <f>466</f>
        <v>466</v>
      </c>
      <c r="G541" s="4" t="s">
        <v>25</v>
      </c>
      <c r="H541" s="7">
        <v>1.47</v>
      </c>
      <c r="I541" s="7">
        <v>1.45</v>
      </c>
      <c r="J541" s="8">
        <v>0.25</v>
      </c>
      <c r="K541" s="9">
        <f>1.81</f>
        <v>1.81</v>
      </c>
      <c r="L541" s="9">
        <f>843.46</f>
        <v>843.46</v>
      </c>
      <c r="M541" s="4"/>
      <c r="N541" s="10">
        <v>1</v>
      </c>
      <c r="O541" s="4" t="s">
        <v>26</v>
      </c>
      <c r="P541" s="11">
        <v>466</v>
      </c>
      <c r="Q541" s="9">
        <f>843.46</f>
        <v>843.46</v>
      </c>
    </row>
    <row r="542" spans="1:17" ht="45" customHeight="1" x14ac:dyDescent="0.25">
      <c r="A542" s="4" t="s">
        <v>20</v>
      </c>
      <c r="B542" s="5" t="s">
        <v>1543</v>
      </c>
      <c r="C542" s="4" t="s">
        <v>22</v>
      </c>
      <c r="D542" s="4" t="s">
        <v>1227</v>
      </c>
      <c r="E542" s="4" t="s">
        <v>1228</v>
      </c>
      <c r="F542" s="6">
        <f>466</f>
        <v>466</v>
      </c>
      <c r="G542" s="4" t="s">
        <v>25</v>
      </c>
      <c r="H542" s="7">
        <v>0.77</v>
      </c>
      <c r="I542" s="7">
        <v>0.75</v>
      </c>
      <c r="J542" s="8">
        <v>0.25</v>
      </c>
      <c r="K542" s="9">
        <f>0.94</f>
        <v>0.94</v>
      </c>
      <c r="L542" s="9">
        <f>438.04</f>
        <v>438.04</v>
      </c>
      <c r="M542" s="4"/>
      <c r="N542" s="10">
        <v>1</v>
      </c>
      <c r="O542" s="4" t="s">
        <v>26</v>
      </c>
      <c r="P542" s="11">
        <v>466</v>
      </c>
      <c r="Q542" s="9">
        <f>438.04</f>
        <v>438.04</v>
      </c>
    </row>
    <row r="543" spans="1:17" ht="45" customHeight="1" x14ac:dyDescent="0.25">
      <c r="A543" s="4" t="s">
        <v>20</v>
      </c>
      <c r="B543" s="5" t="s">
        <v>1544</v>
      </c>
      <c r="C543" s="4" t="s">
        <v>22</v>
      </c>
      <c r="D543" s="4" t="s">
        <v>1379</v>
      </c>
      <c r="E543" s="4" t="s">
        <v>1380</v>
      </c>
      <c r="F543" s="6">
        <f>14</f>
        <v>14</v>
      </c>
      <c r="G543" s="4" t="s">
        <v>25</v>
      </c>
      <c r="H543" s="7">
        <v>18.04</v>
      </c>
      <c r="I543" s="7">
        <v>18.02</v>
      </c>
      <c r="J543" s="8">
        <v>0.25</v>
      </c>
      <c r="K543" s="9">
        <f>22.53</f>
        <v>22.53</v>
      </c>
      <c r="L543" s="9">
        <f>315.42</f>
        <v>315.42</v>
      </c>
      <c r="M543" s="4"/>
      <c r="N543" s="10">
        <v>1</v>
      </c>
      <c r="O543" s="4" t="s">
        <v>26</v>
      </c>
      <c r="P543" s="11">
        <v>14</v>
      </c>
      <c r="Q543" s="9">
        <f>315.42</f>
        <v>315.42</v>
      </c>
    </row>
    <row r="544" spans="1:17" ht="45" customHeight="1" x14ac:dyDescent="0.25">
      <c r="A544" s="4" t="s">
        <v>20</v>
      </c>
      <c r="B544" s="5" t="s">
        <v>1545</v>
      </c>
      <c r="C544" s="4" t="s">
        <v>22</v>
      </c>
      <c r="D544" s="4" t="s">
        <v>1532</v>
      </c>
      <c r="E544" s="4" t="s">
        <v>1533</v>
      </c>
      <c r="F544" s="6">
        <f>36</f>
        <v>36</v>
      </c>
      <c r="G544" s="4" t="s">
        <v>25</v>
      </c>
      <c r="H544" s="7">
        <v>19.420000000000002</v>
      </c>
      <c r="I544" s="7">
        <v>19.399999999999999</v>
      </c>
      <c r="J544" s="8">
        <v>0.25</v>
      </c>
      <c r="K544" s="9">
        <f>24.25</f>
        <v>24.25</v>
      </c>
      <c r="L544" s="9">
        <f>873</f>
        <v>873</v>
      </c>
      <c r="M544" s="4"/>
      <c r="N544" s="10">
        <v>1</v>
      </c>
      <c r="O544" s="4" t="s">
        <v>26</v>
      </c>
      <c r="P544" s="11">
        <v>36</v>
      </c>
      <c r="Q544" s="9">
        <f>873</f>
        <v>873</v>
      </c>
    </row>
    <row r="545" spans="1:17" ht="45" customHeight="1" x14ac:dyDescent="0.25">
      <c r="A545" s="4" t="s">
        <v>20</v>
      </c>
      <c r="B545" s="5" t="s">
        <v>1546</v>
      </c>
      <c r="C545" s="4" t="s">
        <v>30</v>
      </c>
      <c r="D545" s="4" t="s">
        <v>1547</v>
      </c>
      <c r="E545" s="4" t="s">
        <v>1548</v>
      </c>
      <c r="F545" s="6">
        <f>57</f>
        <v>57</v>
      </c>
      <c r="G545" s="4" t="s">
        <v>25</v>
      </c>
      <c r="H545" s="7">
        <v>28</v>
      </c>
      <c r="I545" s="7">
        <v>28</v>
      </c>
      <c r="J545" s="8">
        <v>0.25</v>
      </c>
      <c r="K545" s="9">
        <f>35</f>
        <v>35</v>
      </c>
      <c r="L545" s="9">
        <f>1995</f>
        <v>1995</v>
      </c>
      <c r="M545" s="4"/>
      <c r="N545" s="10">
        <v>1</v>
      </c>
      <c r="O545" s="4" t="s">
        <v>26</v>
      </c>
      <c r="P545" s="11">
        <v>57</v>
      </c>
      <c r="Q545" s="9">
        <f>1995</f>
        <v>1995</v>
      </c>
    </row>
    <row r="546" spans="1:17" ht="45" customHeight="1" x14ac:dyDescent="0.25">
      <c r="A546" s="4" t="s">
        <v>20</v>
      </c>
      <c r="B546" s="5" t="s">
        <v>1549</v>
      </c>
      <c r="C546" s="4" t="s">
        <v>22</v>
      </c>
      <c r="D546" s="4" t="s">
        <v>1550</v>
      </c>
      <c r="E546" s="4" t="s">
        <v>1551</v>
      </c>
      <c r="F546" s="6">
        <f>100</f>
        <v>100</v>
      </c>
      <c r="G546" s="4" t="s">
        <v>25</v>
      </c>
      <c r="H546" s="7">
        <v>23.61</v>
      </c>
      <c r="I546" s="7">
        <v>23.59</v>
      </c>
      <c r="J546" s="8">
        <v>0.25</v>
      </c>
      <c r="K546" s="9">
        <f>29.49</f>
        <v>29.49</v>
      </c>
      <c r="L546" s="9">
        <f>2949</f>
        <v>2949</v>
      </c>
      <c r="M546" s="4"/>
      <c r="N546" s="10">
        <v>1</v>
      </c>
      <c r="O546" s="4" t="s">
        <v>26</v>
      </c>
      <c r="P546" s="11">
        <v>100</v>
      </c>
      <c r="Q546" s="9">
        <f>2949</f>
        <v>2949</v>
      </c>
    </row>
    <row r="547" spans="1:17" ht="45" customHeight="1" x14ac:dyDescent="0.25">
      <c r="A547" s="4" t="s">
        <v>17</v>
      </c>
      <c r="B547" s="5" t="s">
        <v>1552</v>
      </c>
      <c r="C547" s="4"/>
      <c r="D547" s="4"/>
      <c r="E547" s="4" t="s">
        <v>1553</v>
      </c>
      <c r="F547" s="6"/>
      <c r="G547" s="4"/>
      <c r="H547" s="7"/>
      <c r="I547" s="7"/>
      <c r="J547" s="8"/>
      <c r="K547" s="9"/>
      <c r="L547" s="9">
        <f>86439.77</f>
        <v>86439.77</v>
      </c>
      <c r="M547" s="4"/>
      <c r="N547" s="10"/>
      <c r="O547" s="4"/>
      <c r="P547" s="11"/>
      <c r="Q547" s="9"/>
    </row>
    <row r="548" spans="1:17" ht="45" customHeight="1" x14ac:dyDescent="0.25">
      <c r="A548" s="4" t="s">
        <v>20</v>
      </c>
      <c r="B548" s="5" t="s">
        <v>1554</v>
      </c>
      <c r="C548" s="4" t="s">
        <v>30</v>
      </c>
      <c r="D548" s="4" t="s">
        <v>1555</v>
      </c>
      <c r="E548" s="4" t="s">
        <v>1556</v>
      </c>
      <c r="F548" s="6">
        <f>21.5</f>
        <v>21.5</v>
      </c>
      <c r="G548" s="4" t="s">
        <v>46</v>
      </c>
      <c r="H548" s="7">
        <v>5.17</v>
      </c>
      <c r="I548" s="7">
        <v>5.17</v>
      </c>
      <c r="J548" s="8">
        <v>0.25</v>
      </c>
      <c r="K548" s="9">
        <f>6.46</f>
        <v>6.46</v>
      </c>
      <c r="L548" s="9">
        <f>138.89</f>
        <v>138.88999999999999</v>
      </c>
      <c r="M548" s="4"/>
      <c r="N548" s="10">
        <v>1</v>
      </c>
      <c r="O548" s="4" t="s">
        <v>26</v>
      </c>
      <c r="P548" s="11">
        <v>21.5</v>
      </c>
      <c r="Q548" s="9">
        <f>138.89</f>
        <v>138.88999999999999</v>
      </c>
    </row>
    <row r="549" spans="1:17" ht="45" customHeight="1" x14ac:dyDescent="0.25">
      <c r="A549" s="4" t="s">
        <v>20</v>
      </c>
      <c r="B549" s="5" t="s">
        <v>1557</v>
      </c>
      <c r="C549" s="4" t="s">
        <v>30</v>
      </c>
      <c r="D549" s="4" t="s">
        <v>1558</v>
      </c>
      <c r="E549" s="4" t="s">
        <v>1559</v>
      </c>
      <c r="F549" s="6">
        <f>87.7</f>
        <v>87.7</v>
      </c>
      <c r="G549" s="4" t="s">
        <v>46</v>
      </c>
      <c r="H549" s="7">
        <v>7.6</v>
      </c>
      <c r="I549" s="7">
        <v>7.6</v>
      </c>
      <c r="J549" s="8">
        <v>0.25</v>
      </c>
      <c r="K549" s="9">
        <f>9.5</f>
        <v>9.5</v>
      </c>
      <c r="L549" s="9">
        <f>833.15</f>
        <v>833.15</v>
      </c>
      <c r="M549" s="4"/>
      <c r="N549" s="10">
        <v>1</v>
      </c>
      <c r="O549" s="4" t="s">
        <v>26</v>
      </c>
      <c r="P549" s="11">
        <v>87.7</v>
      </c>
      <c r="Q549" s="9">
        <f>833.15</f>
        <v>833.15</v>
      </c>
    </row>
    <row r="550" spans="1:17" ht="45" customHeight="1" x14ac:dyDescent="0.25">
      <c r="A550" s="4" t="s">
        <v>20</v>
      </c>
      <c r="B550" s="5" t="s">
        <v>1560</v>
      </c>
      <c r="C550" s="4" t="s">
        <v>30</v>
      </c>
      <c r="D550" s="4" t="s">
        <v>1561</v>
      </c>
      <c r="E550" s="4" t="s">
        <v>1562</v>
      </c>
      <c r="F550" s="6">
        <f>71.1</f>
        <v>71.099999999999994</v>
      </c>
      <c r="G550" s="4" t="s">
        <v>46</v>
      </c>
      <c r="H550" s="7">
        <v>28.25</v>
      </c>
      <c r="I550" s="7">
        <v>28.25</v>
      </c>
      <c r="J550" s="8">
        <v>0.25</v>
      </c>
      <c r="K550" s="9">
        <f>35.31</f>
        <v>35.31</v>
      </c>
      <c r="L550" s="9">
        <f>2510.54</f>
        <v>2510.54</v>
      </c>
      <c r="M550" s="4"/>
      <c r="N550" s="10">
        <v>1</v>
      </c>
      <c r="O550" s="4" t="s">
        <v>26</v>
      </c>
      <c r="P550" s="11">
        <v>71.099999999999994</v>
      </c>
      <c r="Q550" s="9">
        <f>2510.54</f>
        <v>2510.54</v>
      </c>
    </row>
    <row r="551" spans="1:17" ht="45" customHeight="1" x14ac:dyDescent="0.25">
      <c r="A551" s="4" t="s">
        <v>20</v>
      </c>
      <c r="B551" s="5" t="s">
        <v>1563</v>
      </c>
      <c r="C551" s="4" t="s">
        <v>30</v>
      </c>
      <c r="D551" s="4" t="s">
        <v>1564</v>
      </c>
      <c r="E551" s="4" t="s">
        <v>1565</v>
      </c>
      <c r="F551" s="6">
        <f>109.2</f>
        <v>109.2</v>
      </c>
      <c r="G551" s="4" t="s">
        <v>46</v>
      </c>
      <c r="H551" s="7">
        <v>47.06</v>
      </c>
      <c r="I551" s="7">
        <v>47.06</v>
      </c>
      <c r="J551" s="8">
        <v>0.25</v>
      </c>
      <c r="K551" s="9">
        <f>58.83</f>
        <v>58.83</v>
      </c>
      <c r="L551" s="9">
        <f>6424.24</f>
        <v>6424.24</v>
      </c>
      <c r="M551" s="4"/>
      <c r="N551" s="10">
        <v>1</v>
      </c>
      <c r="O551" s="4" t="s">
        <v>26</v>
      </c>
      <c r="P551" s="11">
        <v>109.2</v>
      </c>
      <c r="Q551" s="9">
        <f>6424.24</f>
        <v>6424.24</v>
      </c>
    </row>
    <row r="552" spans="1:17" ht="45" customHeight="1" x14ac:dyDescent="0.25">
      <c r="A552" s="4" t="s">
        <v>20</v>
      </c>
      <c r="B552" s="5" t="s">
        <v>1566</v>
      </c>
      <c r="C552" s="4" t="s">
        <v>30</v>
      </c>
      <c r="D552" s="4" t="s">
        <v>1567</v>
      </c>
      <c r="E552" s="4" t="s">
        <v>1568</v>
      </c>
      <c r="F552" s="6">
        <f>38.1</f>
        <v>38.1</v>
      </c>
      <c r="G552" s="4" t="s">
        <v>46</v>
      </c>
      <c r="H552" s="7">
        <v>78.33</v>
      </c>
      <c r="I552" s="7">
        <v>78.33</v>
      </c>
      <c r="J552" s="8">
        <v>0.25</v>
      </c>
      <c r="K552" s="9">
        <f>97.91</f>
        <v>97.91</v>
      </c>
      <c r="L552" s="9">
        <f>3730.37</f>
        <v>3730.37</v>
      </c>
      <c r="M552" s="4"/>
      <c r="N552" s="10">
        <v>1</v>
      </c>
      <c r="O552" s="4" t="s">
        <v>26</v>
      </c>
      <c r="P552" s="11">
        <v>38.1</v>
      </c>
      <c r="Q552" s="9">
        <f>3730.37</f>
        <v>3730.37</v>
      </c>
    </row>
    <row r="553" spans="1:17" ht="45" customHeight="1" x14ac:dyDescent="0.25">
      <c r="A553" s="4" t="s">
        <v>20</v>
      </c>
      <c r="B553" s="5" t="s">
        <v>1569</v>
      </c>
      <c r="C553" s="4" t="s">
        <v>30</v>
      </c>
      <c r="D553" s="4" t="s">
        <v>814</v>
      </c>
      <c r="E553" s="4" t="s">
        <v>815</v>
      </c>
      <c r="F553" s="6">
        <f>62.5</f>
        <v>62.5</v>
      </c>
      <c r="G553" s="4" t="s">
        <v>46</v>
      </c>
      <c r="H553" s="7">
        <v>24.37</v>
      </c>
      <c r="I553" s="7">
        <v>24.37</v>
      </c>
      <c r="J553" s="8">
        <v>0.25</v>
      </c>
      <c r="K553" s="9">
        <f>30.46</f>
        <v>30.46</v>
      </c>
      <c r="L553" s="9">
        <f>1903.75</f>
        <v>1903.75</v>
      </c>
      <c r="M553" s="4"/>
      <c r="N553" s="10">
        <v>1</v>
      </c>
      <c r="O553" s="4" t="s">
        <v>26</v>
      </c>
      <c r="P553" s="11">
        <v>62.5</v>
      </c>
      <c r="Q553" s="9">
        <f>1903.75</f>
        <v>1903.75</v>
      </c>
    </row>
    <row r="554" spans="1:17" ht="45" customHeight="1" x14ac:dyDescent="0.25">
      <c r="A554" s="4" t="s">
        <v>20</v>
      </c>
      <c r="B554" s="5" t="s">
        <v>1570</v>
      </c>
      <c r="C554" s="4" t="s">
        <v>30</v>
      </c>
      <c r="D554" s="4" t="s">
        <v>817</v>
      </c>
      <c r="E554" s="4" t="s">
        <v>818</v>
      </c>
      <c r="F554" s="6">
        <f>1.3</f>
        <v>1.3</v>
      </c>
      <c r="G554" s="4" t="s">
        <v>46</v>
      </c>
      <c r="H554" s="7">
        <v>31.11</v>
      </c>
      <c r="I554" s="7">
        <v>31.11</v>
      </c>
      <c r="J554" s="8">
        <v>0.25</v>
      </c>
      <c r="K554" s="9">
        <f>38.89</f>
        <v>38.89</v>
      </c>
      <c r="L554" s="9">
        <f>50.56</f>
        <v>50.56</v>
      </c>
      <c r="M554" s="4"/>
      <c r="N554" s="10">
        <v>1</v>
      </c>
      <c r="O554" s="4" t="s">
        <v>26</v>
      </c>
      <c r="P554" s="11">
        <v>1.3</v>
      </c>
      <c r="Q554" s="9">
        <f>50.56</f>
        <v>50.56</v>
      </c>
    </row>
    <row r="555" spans="1:17" ht="45" customHeight="1" x14ac:dyDescent="0.25">
      <c r="A555" s="4" t="s">
        <v>20</v>
      </c>
      <c r="B555" s="5" t="s">
        <v>1571</v>
      </c>
      <c r="C555" s="4" t="s">
        <v>30</v>
      </c>
      <c r="D555" s="4" t="s">
        <v>823</v>
      </c>
      <c r="E555" s="4" t="s">
        <v>824</v>
      </c>
      <c r="F555" s="6">
        <f>2.4</f>
        <v>2.4</v>
      </c>
      <c r="G555" s="4" t="s">
        <v>46</v>
      </c>
      <c r="H555" s="7">
        <v>43.31</v>
      </c>
      <c r="I555" s="7">
        <v>43.31</v>
      </c>
      <c r="J555" s="8">
        <v>0.25</v>
      </c>
      <c r="K555" s="9">
        <f>54.14</f>
        <v>54.14</v>
      </c>
      <c r="L555" s="9">
        <f>129.94</f>
        <v>129.94</v>
      </c>
      <c r="M555" s="4"/>
      <c r="N555" s="10">
        <v>1</v>
      </c>
      <c r="O555" s="4" t="s">
        <v>26</v>
      </c>
      <c r="P555" s="11">
        <v>2.4</v>
      </c>
      <c r="Q555" s="9">
        <f>129.94</f>
        <v>129.94</v>
      </c>
    </row>
    <row r="556" spans="1:17" ht="45" customHeight="1" x14ac:dyDescent="0.25">
      <c r="A556" s="4" t="s">
        <v>20</v>
      </c>
      <c r="B556" s="5" t="s">
        <v>1572</v>
      </c>
      <c r="C556" s="4" t="s">
        <v>30</v>
      </c>
      <c r="D556" s="4" t="s">
        <v>829</v>
      </c>
      <c r="E556" s="4" t="s">
        <v>830</v>
      </c>
      <c r="F556" s="6">
        <f>7</f>
        <v>7</v>
      </c>
      <c r="G556" s="4" t="s">
        <v>25</v>
      </c>
      <c r="H556" s="7">
        <v>12.25</v>
      </c>
      <c r="I556" s="7">
        <v>12.25</v>
      </c>
      <c r="J556" s="8">
        <v>0.25</v>
      </c>
      <c r="K556" s="9">
        <f>15.31</f>
        <v>15.31</v>
      </c>
      <c r="L556" s="9">
        <f>107.17</f>
        <v>107.17</v>
      </c>
      <c r="M556" s="4"/>
      <c r="N556" s="10">
        <v>1</v>
      </c>
      <c r="O556" s="4" t="s">
        <v>26</v>
      </c>
      <c r="P556" s="11">
        <v>7</v>
      </c>
      <c r="Q556" s="9">
        <f>107.17</f>
        <v>107.17</v>
      </c>
    </row>
    <row r="557" spans="1:17" ht="45" customHeight="1" x14ac:dyDescent="0.25">
      <c r="A557" s="4" t="s">
        <v>20</v>
      </c>
      <c r="B557" s="5" t="s">
        <v>1573</v>
      </c>
      <c r="C557" s="4" t="s">
        <v>30</v>
      </c>
      <c r="D557" s="4" t="s">
        <v>841</v>
      </c>
      <c r="E557" s="4" t="s">
        <v>842</v>
      </c>
      <c r="F557" s="6">
        <f>9</f>
        <v>9</v>
      </c>
      <c r="G557" s="4" t="s">
        <v>25</v>
      </c>
      <c r="H557" s="7">
        <v>12.05</v>
      </c>
      <c r="I557" s="7">
        <v>12.05</v>
      </c>
      <c r="J557" s="8">
        <v>0.25</v>
      </c>
      <c r="K557" s="9">
        <f>15.06</f>
        <v>15.06</v>
      </c>
      <c r="L557" s="9">
        <f>135.54</f>
        <v>135.54</v>
      </c>
      <c r="M557" s="4"/>
      <c r="N557" s="10">
        <v>1</v>
      </c>
      <c r="O557" s="4" t="s">
        <v>26</v>
      </c>
      <c r="P557" s="11">
        <v>9</v>
      </c>
      <c r="Q557" s="9">
        <f>135.54</f>
        <v>135.54</v>
      </c>
    </row>
    <row r="558" spans="1:17" ht="45" customHeight="1" x14ac:dyDescent="0.25">
      <c r="A558" s="4" t="s">
        <v>20</v>
      </c>
      <c r="B558" s="5" t="s">
        <v>1574</v>
      </c>
      <c r="C558" s="4" t="s">
        <v>30</v>
      </c>
      <c r="D558" s="4" t="s">
        <v>853</v>
      </c>
      <c r="E558" s="4" t="s">
        <v>854</v>
      </c>
      <c r="F558" s="6">
        <f>16</f>
        <v>16</v>
      </c>
      <c r="G558" s="4" t="s">
        <v>25</v>
      </c>
      <c r="H558" s="7">
        <v>11.77</v>
      </c>
      <c r="I558" s="7">
        <v>11.77</v>
      </c>
      <c r="J558" s="8">
        <v>0.25</v>
      </c>
      <c r="K558" s="9">
        <f>14.71</f>
        <v>14.71</v>
      </c>
      <c r="L558" s="9">
        <f>235.36</f>
        <v>235.36</v>
      </c>
      <c r="M558" s="4"/>
      <c r="N558" s="10">
        <v>1</v>
      </c>
      <c r="O558" s="4" t="s">
        <v>26</v>
      </c>
      <c r="P558" s="11">
        <v>16</v>
      </c>
      <c r="Q558" s="9">
        <f>235.36</f>
        <v>235.36</v>
      </c>
    </row>
    <row r="559" spans="1:17" ht="45" customHeight="1" x14ac:dyDescent="0.25">
      <c r="A559" s="4" t="s">
        <v>20</v>
      </c>
      <c r="B559" s="5" t="s">
        <v>1575</v>
      </c>
      <c r="C559" s="4" t="s">
        <v>22</v>
      </c>
      <c r="D559" s="4" t="s">
        <v>1576</v>
      </c>
      <c r="E559" s="4" t="s">
        <v>1577</v>
      </c>
      <c r="F559" s="6">
        <f>5</f>
        <v>5</v>
      </c>
      <c r="G559" s="4" t="s">
        <v>25</v>
      </c>
      <c r="H559" s="7">
        <v>115.64</v>
      </c>
      <c r="I559" s="7">
        <v>115.63</v>
      </c>
      <c r="J559" s="8">
        <v>0.25</v>
      </c>
      <c r="K559" s="9">
        <f>144.54</f>
        <v>144.54</v>
      </c>
      <c r="L559" s="9">
        <f>722.7</f>
        <v>722.7</v>
      </c>
      <c r="M559" s="4"/>
      <c r="N559" s="10">
        <v>1</v>
      </c>
      <c r="O559" s="4" t="s">
        <v>26</v>
      </c>
      <c r="P559" s="11">
        <v>5</v>
      </c>
      <c r="Q559" s="9">
        <f>722.7</f>
        <v>722.7</v>
      </c>
    </row>
    <row r="560" spans="1:17" ht="45" customHeight="1" x14ac:dyDescent="0.25">
      <c r="A560" s="4" t="s">
        <v>20</v>
      </c>
      <c r="B560" s="5" t="s">
        <v>1578</v>
      </c>
      <c r="C560" s="4" t="s">
        <v>30</v>
      </c>
      <c r="D560" s="4" t="s">
        <v>868</v>
      </c>
      <c r="E560" s="4" t="s">
        <v>869</v>
      </c>
      <c r="F560" s="6">
        <f>1</f>
        <v>1</v>
      </c>
      <c r="G560" s="4" t="s">
        <v>25</v>
      </c>
      <c r="H560" s="7">
        <v>17.23</v>
      </c>
      <c r="I560" s="7">
        <v>17.23</v>
      </c>
      <c r="J560" s="8">
        <v>0.25</v>
      </c>
      <c r="K560" s="9">
        <f>21.54</f>
        <v>21.54</v>
      </c>
      <c r="L560" s="9">
        <f>21.54</f>
        <v>21.54</v>
      </c>
      <c r="M560" s="4"/>
      <c r="N560" s="10">
        <v>1</v>
      </c>
      <c r="O560" s="4" t="s">
        <v>26</v>
      </c>
      <c r="P560" s="11">
        <v>1</v>
      </c>
      <c r="Q560" s="9">
        <f>21.54</f>
        <v>21.54</v>
      </c>
    </row>
    <row r="561" spans="1:17" ht="45" customHeight="1" x14ac:dyDescent="0.25">
      <c r="A561" s="4" t="s">
        <v>20</v>
      </c>
      <c r="B561" s="5" t="s">
        <v>1579</v>
      </c>
      <c r="C561" s="4" t="s">
        <v>22</v>
      </c>
      <c r="D561" s="4" t="s">
        <v>1580</v>
      </c>
      <c r="E561" s="4" t="s">
        <v>1581</v>
      </c>
      <c r="F561" s="6">
        <f>1</f>
        <v>1</v>
      </c>
      <c r="G561" s="4" t="s">
        <v>25</v>
      </c>
      <c r="H561" s="7">
        <v>186.33</v>
      </c>
      <c r="I561" s="7">
        <v>178.68</v>
      </c>
      <c r="J561" s="8">
        <v>0.25</v>
      </c>
      <c r="K561" s="9">
        <f>223.35</f>
        <v>223.35</v>
      </c>
      <c r="L561" s="9">
        <f>223.35</f>
        <v>223.35</v>
      </c>
      <c r="M561" s="4"/>
      <c r="N561" s="10">
        <v>1</v>
      </c>
      <c r="O561" s="4" t="s">
        <v>26</v>
      </c>
      <c r="P561" s="11">
        <v>1</v>
      </c>
      <c r="Q561" s="9">
        <f>223.35</f>
        <v>223.35</v>
      </c>
    </row>
    <row r="562" spans="1:17" ht="45" customHeight="1" x14ac:dyDescent="0.25">
      <c r="A562" s="4" t="s">
        <v>20</v>
      </c>
      <c r="B562" s="5" t="s">
        <v>1582</v>
      </c>
      <c r="C562" s="4" t="s">
        <v>22</v>
      </c>
      <c r="D562" s="4" t="s">
        <v>1583</v>
      </c>
      <c r="E562" s="4" t="s">
        <v>1584</v>
      </c>
      <c r="F562" s="6">
        <f>2</f>
        <v>2</v>
      </c>
      <c r="G562" s="4" t="s">
        <v>25</v>
      </c>
      <c r="H562" s="7">
        <v>39.85</v>
      </c>
      <c r="I562" s="7">
        <v>39.82</v>
      </c>
      <c r="J562" s="8">
        <v>0.25</v>
      </c>
      <c r="K562" s="9">
        <f>49.78</f>
        <v>49.78</v>
      </c>
      <c r="L562" s="9">
        <f>99.56</f>
        <v>99.56</v>
      </c>
      <c r="M562" s="4"/>
      <c r="N562" s="10">
        <v>1</v>
      </c>
      <c r="O562" s="4" t="s">
        <v>26</v>
      </c>
      <c r="P562" s="11">
        <v>2</v>
      </c>
      <c r="Q562" s="9">
        <f>99.56</f>
        <v>99.56</v>
      </c>
    </row>
    <row r="563" spans="1:17" ht="45" customHeight="1" x14ac:dyDescent="0.25">
      <c r="A563" s="4" t="s">
        <v>20</v>
      </c>
      <c r="B563" s="5" t="s">
        <v>1585</v>
      </c>
      <c r="C563" s="4" t="s">
        <v>30</v>
      </c>
      <c r="D563" s="4" t="s">
        <v>1586</v>
      </c>
      <c r="E563" s="4" t="s">
        <v>1587</v>
      </c>
      <c r="F563" s="6">
        <f>1</f>
        <v>1</v>
      </c>
      <c r="G563" s="4" t="s">
        <v>25</v>
      </c>
      <c r="H563" s="7">
        <v>322.31</v>
      </c>
      <c r="I563" s="7">
        <v>322.31</v>
      </c>
      <c r="J563" s="8">
        <v>0.25</v>
      </c>
      <c r="K563" s="9">
        <f>402.89</f>
        <v>402.89</v>
      </c>
      <c r="L563" s="9">
        <f>402.89</f>
        <v>402.89</v>
      </c>
      <c r="M563" s="4"/>
      <c r="N563" s="10">
        <v>1</v>
      </c>
      <c r="O563" s="4" t="s">
        <v>26</v>
      </c>
      <c r="P563" s="11">
        <v>1</v>
      </c>
      <c r="Q563" s="9">
        <f>402.89</f>
        <v>402.89</v>
      </c>
    </row>
    <row r="564" spans="1:17" ht="45" customHeight="1" x14ac:dyDescent="0.25">
      <c r="A564" s="4" t="s">
        <v>20</v>
      </c>
      <c r="B564" s="5" t="s">
        <v>1588</v>
      </c>
      <c r="C564" s="4" t="s">
        <v>22</v>
      </c>
      <c r="D564" s="4" t="s">
        <v>1589</v>
      </c>
      <c r="E564" s="4" t="s">
        <v>1590</v>
      </c>
      <c r="F564" s="6">
        <f>6</f>
        <v>6</v>
      </c>
      <c r="G564" s="4" t="s">
        <v>25</v>
      </c>
      <c r="H564" s="7">
        <v>7169.78</v>
      </c>
      <c r="I564" s="7">
        <v>7169.76</v>
      </c>
      <c r="J564" s="8">
        <v>0.25</v>
      </c>
      <c r="K564" s="9">
        <f>8962.2</f>
        <v>8962.2000000000007</v>
      </c>
      <c r="L564" s="9">
        <f>53773.2</f>
        <v>53773.2</v>
      </c>
      <c r="M564" s="4"/>
      <c r="N564" s="10">
        <v>1</v>
      </c>
      <c r="O564" s="4" t="s">
        <v>26</v>
      </c>
      <c r="P564" s="11">
        <v>6</v>
      </c>
      <c r="Q564" s="9">
        <f>53773.2</f>
        <v>53773.2</v>
      </c>
    </row>
    <row r="565" spans="1:17" ht="45" customHeight="1" x14ac:dyDescent="0.25">
      <c r="A565" s="4" t="s">
        <v>20</v>
      </c>
      <c r="B565" s="5" t="s">
        <v>1591</v>
      </c>
      <c r="C565" s="4" t="s">
        <v>30</v>
      </c>
      <c r="D565" s="4" t="s">
        <v>1592</v>
      </c>
      <c r="E565" s="4" t="s">
        <v>1593</v>
      </c>
      <c r="F565" s="6">
        <f>2</f>
        <v>2</v>
      </c>
      <c r="G565" s="4" t="s">
        <v>25</v>
      </c>
      <c r="H565" s="7">
        <v>5998.81</v>
      </c>
      <c r="I565" s="7">
        <v>5998.81</v>
      </c>
      <c r="J565" s="8">
        <v>0.25</v>
      </c>
      <c r="K565" s="9">
        <f>7498.51</f>
        <v>7498.51</v>
      </c>
      <c r="L565" s="9">
        <f>14997.02</f>
        <v>14997.02</v>
      </c>
      <c r="M565" s="4"/>
      <c r="N565" s="10">
        <v>1</v>
      </c>
      <c r="O565" s="4" t="s">
        <v>26</v>
      </c>
      <c r="P565" s="11">
        <v>2</v>
      </c>
      <c r="Q565" s="9">
        <f>14997.02</f>
        <v>14997.02</v>
      </c>
    </row>
    <row r="566" spans="1:17" ht="45" customHeight="1" x14ac:dyDescent="0.25">
      <c r="A566" s="4" t="s">
        <v>17</v>
      </c>
      <c r="B566" s="5" t="s">
        <v>1594</v>
      </c>
      <c r="C566" s="4"/>
      <c r="D566" s="4"/>
      <c r="E566" s="4" t="s">
        <v>1595</v>
      </c>
      <c r="F566" s="6"/>
      <c r="G566" s="4"/>
      <c r="H566" s="7"/>
      <c r="I566" s="7"/>
      <c r="J566" s="8"/>
      <c r="K566" s="9"/>
      <c r="L566" s="9">
        <f>14267.3</f>
        <v>14267.3</v>
      </c>
      <c r="M566" s="4"/>
      <c r="N566" s="10"/>
      <c r="O566" s="4"/>
      <c r="P566" s="11"/>
      <c r="Q566" s="9"/>
    </row>
    <row r="567" spans="1:17" ht="45" customHeight="1" x14ac:dyDescent="0.25">
      <c r="A567" s="4" t="s">
        <v>20</v>
      </c>
      <c r="B567" s="5" t="s">
        <v>1596</v>
      </c>
      <c r="C567" s="4" t="s">
        <v>22</v>
      </c>
      <c r="D567" s="4" t="s">
        <v>1597</v>
      </c>
      <c r="E567" s="4" t="s">
        <v>1598</v>
      </c>
      <c r="F567" s="6">
        <f>3.2</f>
        <v>3.2</v>
      </c>
      <c r="G567" s="4" t="s">
        <v>46</v>
      </c>
      <c r="H567" s="7">
        <v>116.74</v>
      </c>
      <c r="I567" s="7">
        <v>116.74</v>
      </c>
      <c r="J567" s="8">
        <v>0.25</v>
      </c>
      <c r="K567" s="9">
        <f>145.93</f>
        <v>145.93</v>
      </c>
      <c r="L567" s="9">
        <f>466.98</f>
        <v>466.98</v>
      </c>
      <c r="M567" s="4"/>
      <c r="N567" s="10">
        <v>1</v>
      </c>
      <c r="O567" s="4" t="s">
        <v>26</v>
      </c>
      <c r="P567" s="11">
        <v>3.2</v>
      </c>
      <c r="Q567" s="9">
        <f>466.98</f>
        <v>466.98</v>
      </c>
    </row>
    <row r="568" spans="1:17" ht="45" customHeight="1" x14ac:dyDescent="0.25">
      <c r="A568" s="4" t="s">
        <v>20</v>
      </c>
      <c r="B568" s="5" t="s">
        <v>1599</v>
      </c>
      <c r="C568" s="4" t="s">
        <v>22</v>
      </c>
      <c r="D568" s="4" t="s">
        <v>1600</v>
      </c>
      <c r="E568" s="4" t="s">
        <v>1601</v>
      </c>
      <c r="F568" s="6">
        <f>1</f>
        <v>1</v>
      </c>
      <c r="G568" s="4" t="s">
        <v>25</v>
      </c>
      <c r="H568" s="7">
        <v>8941.41</v>
      </c>
      <c r="I568" s="7">
        <v>8941.41</v>
      </c>
      <c r="J568" s="8">
        <v>0.25</v>
      </c>
      <c r="K568" s="9">
        <f>11176.76</f>
        <v>11176.76</v>
      </c>
      <c r="L568" s="9">
        <f>11176.76</f>
        <v>11176.76</v>
      </c>
      <c r="M568" s="4"/>
      <c r="N568" s="10">
        <v>1</v>
      </c>
      <c r="O568" s="4" t="s">
        <v>26</v>
      </c>
      <c r="P568" s="11">
        <v>1</v>
      </c>
      <c r="Q568" s="9">
        <f>11176.76</f>
        <v>11176.76</v>
      </c>
    </row>
    <row r="569" spans="1:17" ht="45" customHeight="1" x14ac:dyDescent="0.25">
      <c r="A569" s="4" t="s">
        <v>20</v>
      </c>
      <c r="B569" s="5" t="s">
        <v>1602</v>
      </c>
      <c r="C569" s="4" t="s">
        <v>22</v>
      </c>
      <c r="D569" s="4" t="s">
        <v>1603</v>
      </c>
      <c r="E569" s="4" t="s">
        <v>1604</v>
      </c>
      <c r="F569" s="6">
        <f>1</f>
        <v>1</v>
      </c>
      <c r="G569" s="4" t="s">
        <v>33</v>
      </c>
      <c r="H569" s="7">
        <v>2098.86</v>
      </c>
      <c r="I569" s="7">
        <v>2098.85</v>
      </c>
      <c r="J569" s="8">
        <v>0.25</v>
      </c>
      <c r="K569" s="9">
        <f>2623.56</f>
        <v>2623.56</v>
      </c>
      <c r="L569" s="9">
        <f>2623.56</f>
        <v>2623.56</v>
      </c>
      <c r="M569" s="4"/>
      <c r="N569" s="10">
        <v>1</v>
      </c>
      <c r="O569" s="4" t="s">
        <v>26</v>
      </c>
      <c r="P569" s="11">
        <v>1</v>
      </c>
      <c r="Q569" s="9">
        <f>2623.56</f>
        <v>2623.56</v>
      </c>
    </row>
    <row r="570" spans="1:17" ht="45" customHeight="1" x14ac:dyDescent="0.25">
      <c r="A570" s="4" t="s">
        <v>17</v>
      </c>
      <c r="B570" s="5" t="s">
        <v>1605</v>
      </c>
      <c r="C570" s="4"/>
      <c r="D570" s="4"/>
      <c r="E570" s="4" t="s">
        <v>1606</v>
      </c>
      <c r="F570" s="6"/>
      <c r="G570" s="4"/>
      <c r="H570" s="7"/>
      <c r="I570" s="7"/>
      <c r="J570" s="8"/>
      <c r="K570" s="9"/>
      <c r="L570" s="9">
        <f>4278.14</f>
        <v>4278.1400000000003</v>
      </c>
      <c r="M570" s="4"/>
      <c r="N570" s="10"/>
      <c r="O570" s="4"/>
      <c r="P570" s="11"/>
      <c r="Q570" s="9"/>
    </row>
    <row r="571" spans="1:17" ht="45" customHeight="1" x14ac:dyDescent="0.25">
      <c r="A571" s="4" t="s">
        <v>20</v>
      </c>
      <c r="B571" s="5" t="s">
        <v>1607</v>
      </c>
      <c r="C571" s="4" t="s">
        <v>30</v>
      </c>
      <c r="D571" s="4" t="s">
        <v>1608</v>
      </c>
      <c r="E571" s="4" t="s">
        <v>1609</v>
      </c>
      <c r="F571" s="6">
        <f>2</f>
        <v>2</v>
      </c>
      <c r="G571" s="4" t="s">
        <v>25</v>
      </c>
      <c r="H571" s="7">
        <v>80.42</v>
      </c>
      <c r="I571" s="7">
        <v>80.42</v>
      </c>
      <c r="J571" s="8">
        <v>0.25</v>
      </c>
      <c r="K571" s="9">
        <f>100.53</f>
        <v>100.53</v>
      </c>
      <c r="L571" s="9">
        <f>201.06</f>
        <v>201.06</v>
      </c>
      <c r="M571" s="4"/>
      <c r="N571" s="10">
        <v>1</v>
      </c>
      <c r="O571" s="4" t="s">
        <v>26</v>
      </c>
      <c r="P571" s="11">
        <v>2</v>
      </c>
      <c r="Q571" s="9">
        <f>201.06</f>
        <v>201.06</v>
      </c>
    </row>
    <row r="572" spans="1:17" ht="45" customHeight="1" x14ac:dyDescent="0.25">
      <c r="A572" s="4" t="s">
        <v>20</v>
      </c>
      <c r="B572" s="5" t="s">
        <v>1610</v>
      </c>
      <c r="C572" s="4" t="s">
        <v>22</v>
      </c>
      <c r="D572" s="4" t="s">
        <v>1611</v>
      </c>
      <c r="E572" s="4" t="s">
        <v>1612</v>
      </c>
      <c r="F572" s="6">
        <f>1</f>
        <v>1</v>
      </c>
      <c r="G572" s="4" t="s">
        <v>25</v>
      </c>
      <c r="H572" s="7">
        <v>636.54999999999995</v>
      </c>
      <c r="I572" s="7">
        <v>636.53</v>
      </c>
      <c r="J572" s="8">
        <v>0.25</v>
      </c>
      <c r="K572" s="9">
        <f>795.66</f>
        <v>795.66</v>
      </c>
      <c r="L572" s="9">
        <f>795.66</f>
        <v>795.66</v>
      </c>
      <c r="M572" s="4"/>
      <c r="N572" s="10">
        <v>1</v>
      </c>
      <c r="O572" s="4" t="s">
        <v>26</v>
      </c>
      <c r="P572" s="11">
        <v>1</v>
      </c>
      <c r="Q572" s="9">
        <f>795.66</f>
        <v>795.66</v>
      </c>
    </row>
    <row r="573" spans="1:17" ht="45" customHeight="1" x14ac:dyDescent="0.25">
      <c r="A573" s="4" t="s">
        <v>20</v>
      </c>
      <c r="B573" s="5" t="s">
        <v>1613</v>
      </c>
      <c r="C573" s="4" t="s">
        <v>30</v>
      </c>
      <c r="D573" s="4" t="s">
        <v>1614</v>
      </c>
      <c r="E573" s="4" t="s">
        <v>1615</v>
      </c>
      <c r="F573" s="6">
        <f>2</f>
        <v>2</v>
      </c>
      <c r="G573" s="4" t="s">
        <v>25</v>
      </c>
      <c r="H573" s="7">
        <v>58.93</v>
      </c>
      <c r="I573" s="7">
        <v>58.93</v>
      </c>
      <c r="J573" s="8">
        <v>0.25</v>
      </c>
      <c r="K573" s="9">
        <f>73.66</f>
        <v>73.66</v>
      </c>
      <c r="L573" s="9">
        <f>147.32</f>
        <v>147.32</v>
      </c>
      <c r="M573" s="4"/>
      <c r="N573" s="10">
        <v>1</v>
      </c>
      <c r="O573" s="4" t="s">
        <v>26</v>
      </c>
      <c r="P573" s="11">
        <v>2</v>
      </c>
      <c r="Q573" s="9">
        <f>147.32</f>
        <v>147.32</v>
      </c>
    </row>
    <row r="574" spans="1:17" ht="45" customHeight="1" x14ac:dyDescent="0.25">
      <c r="A574" s="4" t="s">
        <v>20</v>
      </c>
      <c r="B574" s="5" t="s">
        <v>1616</v>
      </c>
      <c r="C574" s="4" t="s">
        <v>30</v>
      </c>
      <c r="D574" s="4" t="s">
        <v>1617</v>
      </c>
      <c r="E574" s="4" t="s">
        <v>1618</v>
      </c>
      <c r="F574" s="6">
        <f>34.5</f>
        <v>34.5</v>
      </c>
      <c r="G574" s="4" t="s">
        <v>46</v>
      </c>
      <c r="H574" s="7">
        <v>39.590000000000003</v>
      </c>
      <c r="I574" s="7">
        <v>39.590000000000003</v>
      </c>
      <c r="J574" s="8">
        <v>0.25</v>
      </c>
      <c r="K574" s="9">
        <f>49.49</f>
        <v>49.49</v>
      </c>
      <c r="L574" s="9">
        <f>1707.41</f>
        <v>1707.41</v>
      </c>
      <c r="M574" s="4"/>
      <c r="N574" s="10">
        <v>1</v>
      </c>
      <c r="O574" s="4" t="s">
        <v>26</v>
      </c>
      <c r="P574" s="11">
        <v>34.5</v>
      </c>
      <c r="Q574" s="9">
        <f>1707.41</f>
        <v>1707.41</v>
      </c>
    </row>
    <row r="575" spans="1:17" ht="45" customHeight="1" x14ac:dyDescent="0.25">
      <c r="A575" s="4" t="s">
        <v>20</v>
      </c>
      <c r="B575" s="5" t="s">
        <v>1619</v>
      </c>
      <c r="C575" s="4" t="s">
        <v>30</v>
      </c>
      <c r="D575" s="4" t="s">
        <v>1620</v>
      </c>
      <c r="E575" s="4" t="s">
        <v>1621</v>
      </c>
      <c r="F575" s="6">
        <f>3</f>
        <v>3</v>
      </c>
      <c r="G575" s="4" t="s">
        <v>25</v>
      </c>
      <c r="H575" s="7">
        <v>44.83</v>
      </c>
      <c r="I575" s="7">
        <v>44.83</v>
      </c>
      <c r="J575" s="8">
        <v>0.25</v>
      </c>
      <c r="K575" s="9">
        <f>56.04</f>
        <v>56.04</v>
      </c>
      <c r="L575" s="9">
        <f>168.12</f>
        <v>168.12</v>
      </c>
      <c r="M575" s="4"/>
      <c r="N575" s="10">
        <v>1</v>
      </c>
      <c r="O575" s="4" t="s">
        <v>26</v>
      </c>
      <c r="P575" s="11">
        <v>3</v>
      </c>
      <c r="Q575" s="9">
        <f>168.12</f>
        <v>168.12</v>
      </c>
    </row>
    <row r="576" spans="1:17" ht="45" customHeight="1" x14ac:dyDescent="0.25">
      <c r="A576" s="4" t="s">
        <v>20</v>
      </c>
      <c r="B576" s="5" t="s">
        <v>1622</v>
      </c>
      <c r="C576" s="4" t="s">
        <v>22</v>
      </c>
      <c r="D576" s="4" t="s">
        <v>1623</v>
      </c>
      <c r="E576" s="4" t="s">
        <v>1624</v>
      </c>
      <c r="F576" s="6">
        <f>1</f>
        <v>1</v>
      </c>
      <c r="G576" s="4" t="s">
        <v>25</v>
      </c>
      <c r="H576" s="7">
        <v>15.67</v>
      </c>
      <c r="I576" s="7">
        <v>15.66</v>
      </c>
      <c r="J576" s="8">
        <v>0.25</v>
      </c>
      <c r="K576" s="9">
        <f>19.58</f>
        <v>19.579999999999998</v>
      </c>
      <c r="L576" s="9">
        <f>19.58</f>
        <v>19.579999999999998</v>
      </c>
      <c r="M576" s="4"/>
      <c r="N576" s="10">
        <v>1</v>
      </c>
      <c r="O576" s="4" t="s">
        <v>26</v>
      </c>
      <c r="P576" s="11">
        <v>1</v>
      </c>
      <c r="Q576" s="9">
        <f>19.58</f>
        <v>19.579999999999998</v>
      </c>
    </row>
    <row r="577" spans="1:17" ht="45" customHeight="1" x14ac:dyDescent="0.25">
      <c r="A577" s="4" t="s">
        <v>20</v>
      </c>
      <c r="B577" s="5" t="s">
        <v>1625</v>
      </c>
      <c r="C577" s="4" t="s">
        <v>30</v>
      </c>
      <c r="D577" s="4" t="s">
        <v>1626</v>
      </c>
      <c r="E577" s="4" t="s">
        <v>1627</v>
      </c>
      <c r="F577" s="6">
        <f>4</f>
        <v>4</v>
      </c>
      <c r="G577" s="4" t="s">
        <v>25</v>
      </c>
      <c r="H577" s="7">
        <v>24.03</v>
      </c>
      <c r="I577" s="7">
        <v>24.03</v>
      </c>
      <c r="J577" s="8">
        <v>0.25</v>
      </c>
      <c r="K577" s="9">
        <f>30.04</f>
        <v>30.04</v>
      </c>
      <c r="L577" s="9">
        <f>120.16</f>
        <v>120.16</v>
      </c>
      <c r="M577" s="4"/>
      <c r="N577" s="10">
        <v>1</v>
      </c>
      <c r="O577" s="4" t="s">
        <v>26</v>
      </c>
      <c r="P577" s="11">
        <v>4</v>
      </c>
      <c r="Q577" s="9">
        <f>120.16</f>
        <v>120.16</v>
      </c>
    </row>
    <row r="578" spans="1:17" ht="45" customHeight="1" x14ac:dyDescent="0.25">
      <c r="A578" s="4" t="s">
        <v>20</v>
      </c>
      <c r="B578" s="5" t="s">
        <v>1628</v>
      </c>
      <c r="C578" s="4" t="s">
        <v>22</v>
      </c>
      <c r="D578" s="4" t="s">
        <v>1629</v>
      </c>
      <c r="E578" s="4" t="s">
        <v>1630</v>
      </c>
      <c r="F578" s="6">
        <f>2</f>
        <v>2</v>
      </c>
      <c r="G578" s="4" t="s">
        <v>25</v>
      </c>
      <c r="H578" s="7">
        <v>25.05</v>
      </c>
      <c r="I578" s="7">
        <v>25.03</v>
      </c>
      <c r="J578" s="8">
        <v>0.25</v>
      </c>
      <c r="K578" s="9">
        <f>31.29</f>
        <v>31.29</v>
      </c>
      <c r="L578" s="9">
        <f>62.58</f>
        <v>62.58</v>
      </c>
      <c r="M578" s="4"/>
      <c r="N578" s="10">
        <v>1</v>
      </c>
      <c r="O578" s="4" t="s">
        <v>26</v>
      </c>
      <c r="P578" s="11">
        <v>2</v>
      </c>
      <c r="Q578" s="9">
        <f>62.58</f>
        <v>62.58</v>
      </c>
    </row>
    <row r="579" spans="1:17" ht="45" customHeight="1" x14ac:dyDescent="0.25">
      <c r="A579" s="4" t="s">
        <v>20</v>
      </c>
      <c r="B579" s="5" t="s">
        <v>1631</v>
      </c>
      <c r="C579" s="4" t="s">
        <v>30</v>
      </c>
      <c r="D579" s="4" t="s">
        <v>1632</v>
      </c>
      <c r="E579" s="4" t="s">
        <v>1633</v>
      </c>
      <c r="F579" s="6">
        <f>5</f>
        <v>5</v>
      </c>
      <c r="G579" s="4" t="s">
        <v>25</v>
      </c>
      <c r="H579" s="7">
        <v>65.14</v>
      </c>
      <c r="I579" s="7">
        <v>65.14</v>
      </c>
      <c r="J579" s="8">
        <v>0.25</v>
      </c>
      <c r="K579" s="9">
        <f>81.43</f>
        <v>81.430000000000007</v>
      </c>
      <c r="L579" s="9">
        <f>407.15</f>
        <v>407.15</v>
      </c>
      <c r="M579" s="4"/>
      <c r="N579" s="10">
        <v>1</v>
      </c>
      <c r="O579" s="4" t="s">
        <v>26</v>
      </c>
      <c r="P579" s="11">
        <v>5</v>
      </c>
      <c r="Q579" s="9">
        <f>407.15</f>
        <v>407.15</v>
      </c>
    </row>
    <row r="580" spans="1:17" ht="45" customHeight="1" x14ac:dyDescent="0.25">
      <c r="A580" s="4" t="s">
        <v>20</v>
      </c>
      <c r="B580" s="5" t="s">
        <v>1634</v>
      </c>
      <c r="C580" s="4" t="s">
        <v>30</v>
      </c>
      <c r="D580" s="4" t="s">
        <v>1635</v>
      </c>
      <c r="E580" s="4" t="s">
        <v>1636</v>
      </c>
      <c r="F580" s="6">
        <f>2</f>
        <v>2</v>
      </c>
      <c r="G580" s="4" t="s">
        <v>25</v>
      </c>
      <c r="H580" s="7">
        <v>44.64</v>
      </c>
      <c r="I580" s="7">
        <v>44.64</v>
      </c>
      <c r="J580" s="8">
        <v>0.25</v>
      </c>
      <c r="K580" s="9">
        <f>55.8</f>
        <v>55.8</v>
      </c>
      <c r="L580" s="9">
        <f>111.6</f>
        <v>111.6</v>
      </c>
      <c r="M580" s="4"/>
      <c r="N580" s="10">
        <v>1</v>
      </c>
      <c r="O580" s="4" t="s">
        <v>26</v>
      </c>
      <c r="P580" s="11">
        <v>2</v>
      </c>
      <c r="Q580" s="9">
        <f>111.6</f>
        <v>111.6</v>
      </c>
    </row>
    <row r="581" spans="1:17" ht="45" customHeight="1" x14ac:dyDescent="0.25">
      <c r="A581" s="4" t="s">
        <v>20</v>
      </c>
      <c r="B581" s="5" t="s">
        <v>1637</v>
      </c>
      <c r="C581" s="4" t="s">
        <v>30</v>
      </c>
      <c r="D581" s="4" t="s">
        <v>1638</v>
      </c>
      <c r="E581" s="4" t="s">
        <v>1639</v>
      </c>
      <c r="F581" s="6">
        <f>8</f>
        <v>8</v>
      </c>
      <c r="G581" s="4" t="s">
        <v>25</v>
      </c>
      <c r="H581" s="7">
        <v>23.62</v>
      </c>
      <c r="I581" s="7">
        <v>23.62</v>
      </c>
      <c r="J581" s="8">
        <v>0.25</v>
      </c>
      <c r="K581" s="9">
        <f>29.53</f>
        <v>29.53</v>
      </c>
      <c r="L581" s="9">
        <f>236.24</f>
        <v>236.24</v>
      </c>
      <c r="M581" s="4"/>
      <c r="N581" s="10">
        <v>1</v>
      </c>
      <c r="O581" s="4" t="s">
        <v>26</v>
      </c>
      <c r="P581" s="11">
        <v>8</v>
      </c>
      <c r="Q581" s="9">
        <f>236.24</f>
        <v>236.24</v>
      </c>
    </row>
    <row r="582" spans="1:17" ht="45" customHeight="1" x14ac:dyDescent="0.25">
      <c r="A582" s="4" t="s">
        <v>20</v>
      </c>
      <c r="B582" s="5" t="s">
        <v>1640</v>
      </c>
      <c r="C582" s="4" t="s">
        <v>30</v>
      </c>
      <c r="D582" s="4" t="s">
        <v>1641</v>
      </c>
      <c r="E582" s="4" t="s">
        <v>1642</v>
      </c>
      <c r="F582" s="6">
        <f>4</f>
        <v>4</v>
      </c>
      <c r="G582" s="4" t="s">
        <v>25</v>
      </c>
      <c r="H582" s="7">
        <v>14.92</v>
      </c>
      <c r="I582" s="7">
        <v>14.92</v>
      </c>
      <c r="J582" s="8">
        <v>0.25</v>
      </c>
      <c r="K582" s="9">
        <f>18.65</f>
        <v>18.649999999999999</v>
      </c>
      <c r="L582" s="9">
        <f>74.6</f>
        <v>74.599999999999994</v>
      </c>
      <c r="M582" s="4"/>
      <c r="N582" s="10">
        <v>1</v>
      </c>
      <c r="O582" s="4" t="s">
        <v>26</v>
      </c>
      <c r="P582" s="11">
        <v>4</v>
      </c>
      <c r="Q582" s="9">
        <f>74.6</f>
        <v>74.599999999999994</v>
      </c>
    </row>
    <row r="583" spans="1:17" ht="45" customHeight="1" x14ac:dyDescent="0.25">
      <c r="A583" s="4" t="s">
        <v>20</v>
      </c>
      <c r="B583" s="5" t="s">
        <v>1643</v>
      </c>
      <c r="C583" s="4" t="s">
        <v>30</v>
      </c>
      <c r="D583" s="4" t="s">
        <v>1060</v>
      </c>
      <c r="E583" s="4" t="s">
        <v>1061</v>
      </c>
      <c r="F583" s="6">
        <f>1</f>
        <v>1</v>
      </c>
      <c r="G583" s="4" t="s">
        <v>25</v>
      </c>
      <c r="H583" s="7">
        <v>181.33</v>
      </c>
      <c r="I583" s="7">
        <v>181.33</v>
      </c>
      <c r="J583" s="8">
        <v>0.25</v>
      </c>
      <c r="K583" s="9">
        <f>226.66</f>
        <v>226.66</v>
      </c>
      <c r="L583" s="9">
        <f>226.66</f>
        <v>226.66</v>
      </c>
      <c r="M583" s="4"/>
      <c r="N583" s="10">
        <v>1</v>
      </c>
      <c r="O583" s="4" t="s">
        <v>26</v>
      </c>
      <c r="P583" s="11">
        <v>1</v>
      </c>
      <c r="Q583" s="9">
        <f>226.66</f>
        <v>226.66</v>
      </c>
    </row>
    <row r="584" spans="1:17" ht="45" customHeight="1" x14ac:dyDescent="0.25">
      <c r="A584" s="4" t="s">
        <v>17</v>
      </c>
      <c r="B584" s="5" t="s">
        <v>1644</v>
      </c>
      <c r="C584" s="4"/>
      <c r="D584" s="4"/>
      <c r="E584" s="4" t="s">
        <v>1645</v>
      </c>
      <c r="F584" s="6"/>
      <c r="G584" s="4"/>
      <c r="H584" s="7"/>
      <c r="I584" s="7"/>
      <c r="J584" s="8"/>
      <c r="K584" s="9"/>
      <c r="L584" s="9">
        <f>114048.47</f>
        <v>114048.47</v>
      </c>
      <c r="M584" s="4"/>
      <c r="N584" s="10"/>
      <c r="O584" s="4"/>
      <c r="P584" s="11"/>
      <c r="Q584" s="9"/>
    </row>
    <row r="585" spans="1:17" ht="45" customHeight="1" x14ac:dyDescent="0.25">
      <c r="A585" s="4" t="s">
        <v>20</v>
      </c>
      <c r="B585" s="5" t="s">
        <v>1646</v>
      </c>
      <c r="C585" s="4" t="s">
        <v>22</v>
      </c>
      <c r="D585" s="4" t="s">
        <v>1647</v>
      </c>
      <c r="E585" s="4" t="s">
        <v>1648</v>
      </c>
      <c r="F585" s="6">
        <f>1</f>
        <v>1</v>
      </c>
      <c r="G585" s="4" t="s">
        <v>25</v>
      </c>
      <c r="H585" s="7">
        <v>2841.22</v>
      </c>
      <c r="I585" s="7">
        <v>2841.17</v>
      </c>
      <c r="J585" s="8">
        <v>0.25</v>
      </c>
      <c r="K585" s="9">
        <f>3551.46</f>
        <v>3551.46</v>
      </c>
      <c r="L585" s="9">
        <f>3551.46</f>
        <v>3551.46</v>
      </c>
      <c r="M585" s="4"/>
      <c r="N585" s="10">
        <v>1</v>
      </c>
      <c r="O585" s="4" t="s">
        <v>26</v>
      </c>
      <c r="P585" s="11">
        <v>1</v>
      </c>
      <c r="Q585" s="9">
        <f>3551.46</f>
        <v>3551.46</v>
      </c>
    </row>
    <row r="586" spans="1:17" ht="45" customHeight="1" x14ac:dyDescent="0.25">
      <c r="A586" s="4" t="s">
        <v>20</v>
      </c>
      <c r="B586" s="5" t="s">
        <v>1649</v>
      </c>
      <c r="C586" s="4" t="s">
        <v>22</v>
      </c>
      <c r="D586" s="4" t="s">
        <v>1650</v>
      </c>
      <c r="E586" s="4" t="s">
        <v>1651</v>
      </c>
      <c r="F586" s="6">
        <f>44.86</f>
        <v>44.86</v>
      </c>
      <c r="G586" s="4" t="s">
        <v>33</v>
      </c>
      <c r="H586" s="7">
        <v>751.54</v>
      </c>
      <c r="I586" s="7">
        <v>751.5</v>
      </c>
      <c r="J586" s="8">
        <v>0.25</v>
      </c>
      <c r="K586" s="9">
        <f>939.38</f>
        <v>939.38</v>
      </c>
      <c r="L586" s="9">
        <f>42140.59</f>
        <v>42140.59</v>
      </c>
      <c r="M586" s="4"/>
      <c r="N586" s="10">
        <v>1</v>
      </c>
      <c r="O586" s="4" t="s">
        <v>26</v>
      </c>
      <c r="P586" s="11">
        <v>44.86</v>
      </c>
      <c r="Q586" s="9">
        <f>42140.59</f>
        <v>42140.59</v>
      </c>
    </row>
    <row r="587" spans="1:17" ht="45" customHeight="1" x14ac:dyDescent="0.25">
      <c r="A587" s="4" t="s">
        <v>20</v>
      </c>
      <c r="B587" s="5" t="s">
        <v>1652</v>
      </c>
      <c r="C587" s="4" t="s">
        <v>22</v>
      </c>
      <c r="D587" s="4" t="s">
        <v>1653</v>
      </c>
      <c r="E587" s="4" t="s">
        <v>1654</v>
      </c>
      <c r="F587" s="6">
        <f>1.79</f>
        <v>1.79</v>
      </c>
      <c r="G587" s="4" t="s">
        <v>33</v>
      </c>
      <c r="H587" s="7">
        <v>751.54</v>
      </c>
      <c r="I587" s="7">
        <v>751.5</v>
      </c>
      <c r="J587" s="8">
        <v>0.25</v>
      </c>
      <c r="K587" s="9">
        <f>939.38</f>
        <v>939.38</v>
      </c>
      <c r="L587" s="9">
        <f>1681.49</f>
        <v>1681.49</v>
      </c>
      <c r="M587" s="4"/>
      <c r="N587" s="10">
        <v>1</v>
      </c>
      <c r="O587" s="4" t="s">
        <v>26</v>
      </c>
      <c r="P587" s="11">
        <v>1.79</v>
      </c>
      <c r="Q587" s="9">
        <f>1681.49</f>
        <v>1681.49</v>
      </c>
    </row>
    <row r="588" spans="1:17" ht="45" customHeight="1" x14ac:dyDescent="0.25">
      <c r="A588" s="4" t="s">
        <v>20</v>
      </c>
      <c r="B588" s="5" t="s">
        <v>1655</v>
      </c>
      <c r="C588" s="4" t="s">
        <v>22</v>
      </c>
      <c r="D588" s="4" t="s">
        <v>1656</v>
      </c>
      <c r="E588" s="4" t="s">
        <v>1657</v>
      </c>
      <c r="F588" s="6">
        <f>26.95</f>
        <v>26.95</v>
      </c>
      <c r="G588" s="4" t="s">
        <v>33</v>
      </c>
      <c r="H588" s="7">
        <v>882.67</v>
      </c>
      <c r="I588" s="7">
        <v>882.64</v>
      </c>
      <c r="J588" s="8">
        <v>0.25</v>
      </c>
      <c r="K588" s="9">
        <f>1103.3</f>
        <v>1103.3</v>
      </c>
      <c r="L588" s="9">
        <f>29733.94</f>
        <v>29733.94</v>
      </c>
      <c r="M588" s="4"/>
      <c r="N588" s="10">
        <v>1</v>
      </c>
      <c r="O588" s="4" t="s">
        <v>26</v>
      </c>
      <c r="P588" s="11">
        <v>26.95</v>
      </c>
      <c r="Q588" s="9">
        <f>29733.94</f>
        <v>29733.94</v>
      </c>
    </row>
    <row r="589" spans="1:17" ht="45" customHeight="1" x14ac:dyDescent="0.25">
      <c r="A589" s="4" t="s">
        <v>20</v>
      </c>
      <c r="B589" s="5" t="s">
        <v>1658</v>
      </c>
      <c r="C589" s="4" t="s">
        <v>22</v>
      </c>
      <c r="D589" s="4" t="s">
        <v>1659</v>
      </c>
      <c r="E589" s="4" t="s">
        <v>1660</v>
      </c>
      <c r="F589" s="6">
        <f>37.32</f>
        <v>37.32</v>
      </c>
      <c r="G589" s="4" t="s">
        <v>33</v>
      </c>
      <c r="H589" s="7">
        <v>117.78</v>
      </c>
      <c r="I589" s="7">
        <v>117.77</v>
      </c>
      <c r="J589" s="8">
        <v>0.25</v>
      </c>
      <c r="K589" s="9">
        <f>147.21</f>
        <v>147.21</v>
      </c>
      <c r="L589" s="9">
        <f>5493.88</f>
        <v>5493.88</v>
      </c>
      <c r="M589" s="4"/>
      <c r="N589" s="10">
        <v>1</v>
      </c>
      <c r="O589" s="4" t="s">
        <v>26</v>
      </c>
      <c r="P589" s="11">
        <v>37.32</v>
      </c>
      <c r="Q589" s="9">
        <f>5493.88</f>
        <v>5493.88</v>
      </c>
    </row>
    <row r="590" spans="1:17" ht="45" customHeight="1" x14ac:dyDescent="0.25">
      <c r="A590" s="4" t="s">
        <v>20</v>
      </c>
      <c r="B590" s="5" t="s">
        <v>1661</v>
      </c>
      <c r="C590" s="4" t="s">
        <v>30</v>
      </c>
      <c r="D590" s="4" t="s">
        <v>1662</v>
      </c>
      <c r="E590" s="4" t="s">
        <v>1663</v>
      </c>
      <c r="F590" s="6">
        <f>70.15</f>
        <v>70.150000000000006</v>
      </c>
      <c r="G590" s="4" t="s">
        <v>46</v>
      </c>
      <c r="H590" s="7">
        <v>184.23</v>
      </c>
      <c r="I590" s="7">
        <v>184.23</v>
      </c>
      <c r="J590" s="8">
        <v>0.25</v>
      </c>
      <c r="K590" s="9">
        <f>230.29</f>
        <v>230.29</v>
      </c>
      <c r="L590" s="9">
        <f>16154.84</f>
        <v>16154.84</v>
      </c>
      <c r="M590" s="4"/>
      <c r="N590" s="10">
        <v>1</v>
      </c>
      <c r="O590" s="4" t="s">
        <v>26</v>
      </c>
      <c r="P590" s="11">
        <v>70.150000000000006</v>
      </c>
      <c r="Q590" s="9">
        <f>16154.84</f>
        <v>16154.84</v>
      </c>
    </row>
    <row r="591" spans="1:17" ht="45" customHeight="1" x14ac:dyDescent="0.25">
      <c r="A591" s="4" t="s">
        <v>20</v>
      </c>
      <c r="B591" s="5" t="s">
        <v>1664</v>
      </c>
      <c r="C591" s="4" t="s">
        <v>22</v>
      </c>
      <c r="D591" s="4" t="s">
        <v>1665</v>
      </c>
      <c r="E591" s="4" t="s">
        <v>1666</v>
      </c>
      <c r="F591" s="6">
        <f>5.81</f>
        <v>5.81</v>
      </c>
      <c r="G591" s="4" t="s">
        <v>46</v>
      </c>
      <c r="H591" s="7">
        <v>184.27</v>
      </c>
      <c r="I591" s="7">
        <v>184.23</v>
      </c>
      <c r="J591" s="8">
        <v>0.25</v>
      </c>
      <c r="K591" s="9">
        <f>230.29</f>
        <v>230.29</v>
      </c>
      <c r="L591" s="9">
        <f>1337.98</f>
        <v>1337.98</v>
      </c>
      <c r="M591" s="4"/>
      <c r="N591" s="10">
        <v>1</v>
      </c>
      <c r="O591" s="4" t="s">
        <v>26</v>
      </c>
      <c r="P591" s="11">
        <v>5.81</v>
      </c>
      <c r="Q591" s="9">
        <f>1337.98</f>
        <v>1337.98</v>
      </c>
    </row>
    <row r="592" spans="1:17" ht="45" customHeight="1" x14ac:dyDescent="0.25">
      <c r="A592" s="4" t="s">
        <v>20</v>
      </c>
      <c r="B592" s="5" t="s">
        <v>1667</v>
      </c>
      <c r="C592" s="4" t="s">
        <v>30</v>
      </c>
      <c r="D592" s="4" t="s">
        <v>1668</v>
      </c>
      <c r="E592" s="4" t="s">
        <v>1669</v>
      </c>
      <c r="F592" s="6">
        <f>101</f>
        <v>101</v>
      </c>
      <c r="G592" s="4" t="s">
        <v>25</v>
      </c>
      <c r="H592" s="7">
        <v>39.72</v>
      </c>
      <c r="I592" s="7">
        <v>39.72</v>
      </c>
      <c r="J592" s="8">
        <v>0.25</v>
      </c>
      <c r="K592" s="9">
        <f>49.65</f>
        <v>49.65</v>
      </c>
      <c r="L592" s="9">
        <f>5014.65</f>
        <v>5014.6499999999996</v>
      </c>
      <c r="M592" s="4"/>
      <c r="N592" s="10">
        <v>1</v>
      </c>
      <c r="O592" s="4" t="s">
        <v>26</v>
      </c>
      <c r="P592" s="11">
        <v>101</v>
      </c>
      <c r="Q592" s="9">
        <f>5014.65</f>
        <v>5014.6499999999996</v>
      </c>
    </row>
    <row r="593" spans="1:17" ht="45" customHeight="1" x14ac:dyDescent="0.25">
      <c r="A593" s="4" t="s">
        <v>20</v>
      </c>
      <c r="B593" s="5" t="s">
        <v>1670</v>
      </c>
      <c r="C593" s="4" t="s">
        <v>22</v>
      </c>
      <c r="D593" s="4" t="s">
        <v>1671</v>
      </c>
      <c r="E593" s="4" t="s">
        <v>1672</v>
      </c>
      <c r="F593" s="6">
        <f>11.9</f>
        <v>11.9</v>
      </c>
      <c r="G593" s="4" t="s">
        <v>46</v>
      </c>
      <c r="H593" s="7">
        <v>275.08999999999997</v>
      </c>
      <c r="I593" s="7">
        <v>275.04000000000002</v>
      </c>
      <c r="J593" s="8">
        <v>0.25</v>
      </c>
      <c r="K593" s="9">
        <f>343.8</f>
        <v>343.8</v>
      </c>
      <c r="L593" s="9">
        <f>4091.22</f>
        <v>4091.22</v>
      </c>
      <c r="M593" s="4"/>
      <c r="N593" s="10">
        <v>1</v>
      </c>
      <c r="O593" s="4" t="s">
        <v>26</v>
      </c>
      <c r="P593" s="11">
        <v>11.9</v>
      </c>
      <c r="Q593" s="9">
        <f>4091.22</f>
        <v>4091.22</v>
      </c>
    </row>
    <row r="594" spans="1:17" ht="45" customHeight="1" x14ac:dyDescent="0.25">
      <c r="A594" s="4" t="s">
        <v>20</v>
      </c>
      <c r="B594" s="5" t="s">
        <v>1673</v>
      </c>
      <c r="C594" s="4" t="s">
        <v>22</v>
      </c>
      <c r="D594" s="4" t="s">
        <v>1674</v>
      </c>
      <c r="E594" s="4" t="s">
        <v>1675</v>
      </c>
      <c r="F594" s="6">
        <f>6.35</f>
        <v>6.35</v>
      </c>
      <c r="G594" s="4" t="s">
        <v>33</v>
      </c>
      <c r="H594" s="7">
        <v>610.85</v>
      </c>
      <c r="I594" s="7">
        <v>610.82000000000005</v>
      </c>
      <c r="J594" s="8">
        <v>0.25</v>
      </c>
      <c r="K594" s="9">
        <f>763.53</f>
        <v>763.53</v>
      </c>
      <c r="L594" s="9">
        <f>4848.42</f>
        <v>4848.42</v>
      </c>
      <c r="M594" s="4"/>
      <c r="N594" s="10">
        <v>1</v>
      </c>
      <c r="O594" s="4" t="s">
        <v>26</v>
      </c>
      <c r="P594" s="11">
        <v>6.35</v>
      </c>
      <c r="Q594" s="9">
        <f>4848.42</f>
        <v>4848.42</v>
      </c>
    </row>
    <row r="595" spans="1:17" ht="45" customHeight="1" x14ac:dyDescent="0.25">
      <c r="A595" s="4" t="s">
        <v>17</v>
      </c>
      <c r="B595" s="5" t="s">
        <v>1676</v>
      </c>
      <c r="C595" s="4"/>
      <c r="D595" s="4"/>
      <c r="E595" s="4" t="s">
        <v>1677</v>
      </c>
      <c r="F595" s="6"/>
      <c r="G595" s="4"/>
      <c r="H595" s="7"/>
      <c r="I595" s="7"/>
      <c r="J595" s="8"/>
      <c r="K595" s="9"/>
      <c r="L595" s="9">
        <f>171358.32</f>
        <v>171358.32</v>
      </c>
      <c r="M595" s="4"/>
      <c r="N595" s="10"/>
      <c r="O595" s="4"/>
      <c r="P595" s="11"/>
      <c r="Q595" s="9"/>
    </row>
    <row r="596" spans="1:17" ht="45" customHeight="1" x14ac:dyDescent="0.25">
      <c r="A596" s="4" t="s">
        <v>20</v>
      </c>
      <c r="B596" s="5" t="s">
        <v>1678</v>
      </c>
      <c r="C596" s="4" t="s">
        <v>30</v>
      </c>
      <c r="D596" s="4" t="s">
        <v>67</v>
      </c>
      <c r="E596" s="4" t="s">
        <v>68</v>
      </c>
      <c r="F596" s="6">
        <f>70.2</f>
        <v>70.2</v>
      </c>
      <c r="G596" s="4" t="s">
        <v>65</v>
      </c>
      <c r="H596" s="7">
        <v>42.93</v>
      </c>
      <c r="I596" s="7">
        <v>42.93</v>
      </c>
      <c r="J596" s="8">
        <v>0.25</v>
      </c>
      <c r="K596" s="9">
        <f>53.66</f>
        <v>53.66</v>
      </c>
      <c r="L596" s="9">
        <f>3766.93</f>
        <v>3766.93</v>
      </c>
      <c r="M596" s="4"/>
      <c r="N596" s="10">
        <v>1</v>
      </c>
      <c r="O596" s="4" t="s">
        <v>26</v>
      </c>
      <c r="P596" s="11">
        <v>70.2</v>
      </c>
      <c r="Q596" s="9">
        <f>3766.93</f>
        <v>3766.93</v>
      </c>
    </row>
    <row r="597" spans="1:17" ht="45" customHeight="1" x14ac:dyDescent="0.25">
      <c r="A597" s="4" t="s">
        <v>20</v>
      </c>
      <c r="B597" s="5" t="s">
        <v>1679</v>
      </c>
      <c r="C597" s="4" t="s">
        <v>30</v>
      </c>
      <c r="D597" s="4" t="s">
        <v>70</v>
      </c>
      <c r="E597" s="4" t="s">
        <v>71</v>
      </c>
      <c r="F597" s="6">
        <f>35.54</f>
        <v>35.54</v>
      </c>
      <c r="G597" s="4" t="s">
        <v>65</v>
      </c>
      <c r="H597" s="7">
        <v>57.66</v>
      </c>
      <c r="I597" s="7">
        <v>57.66</v>
      </c>
      <c r="J597" s="8">
        <v>0.25</v>
      </c>
      <c r="K597" s="9">
        <f>72.08</f>
        <v>72.08</v>
      </c>
      <c r="L597" s="9">
        <f>2561.72</f>
        <v>2561.7199999999998</v>
      </c>
      <c r="M597" s="4"/>
      <c r="N597" s="10">
        <v>1</v>
      </c>
      <c r="O597" s="4" t="s">
        <v>26</v>
      </c>
      <c r="P597" s="11">
        <v>35.54</v>
      </c>
      <c r="Q597" s="9">
        <f>2561.72</f>
        <v>2561.7199999999998</v>
      </c>
    </row>
    <row r="598" spans="1:17" ht="45" customHeight="1" x14ac:dyDescent="0.25">
      <c r="A598" s="4" t="s">
        <v>20</v>
      </c>
      <c r="B598" s="5" t="s">
        <v>1680</v>
      </c>
      <c r="C598" s="4" t="s">
        <v>30</v>
      </c>
      <c r="D598" s="4" t="s">
        <v>73</v>
      </c>
      <c r="E598" s="4" t="s">
        <v>74</v>
      </c>
      <c r="F598" s="6">
        <f>196.47</f>
        <v>196.47</v>
      </c>
      <c r="G598" s="4" t="s">
        <v>33</v>
      </c>
      <c r="H598" s="7">
        <v>8.3800000000000008</v>
      </c>
      <c r="I598" s="7">
        <v>8.3800000000000008</v>
      </c>
      <c r="J598" s="8">
        <v>0.25</v>
      </c>
      <c r="K598" s="9">
        <f>10.48</f>
        <v>10.48</v>
      </c>
      <c r="L598" s="9">
        <f>2059.01</f>
        <v>2059.0100000000002</v>
      </c>
      <c r="M598" s="4"/>
      <c r="N598" s="10">
        <v>1</v>
      </c>
      <c r="O598" s="4" t="s">
        <v>26</v>
      </c>
      <c r="P598" s="11">
        <v>196.47</v>
      </c>
      <c r="Q598" s="9">
        <f>2059.01</f>
        <v>2059.0100000000002</v>
      </c>
    </row>
    <row r="599" spans="1:17" ht="45" customHeight="1" x14ac:dyDescent="0.25">
      <c r="A599" s="4" t="s">
        <v>20</v>
      </c>
      <c r="B599" s="5" t="s">
        <v>1681</v>
      </c>
      <c r="C599" s="4" t="s">
        <v>30</v>
      </c>
      <c r="D599" s="4" t="s">
        <v>76</v>
      </c>
      <c r="E599" s="4" t="s">
        <v>77</v>
      </c>
      <c r="F599" s="6">
        <f>94.4</f>
        <v>94.4</v>
      </c>
      <c r="G599" s="4" t="s">
        <v>65</v>
      </c>
      <c r="H599" s="7">
        <v>31.75</v>
      </c>
      <c r="I599" s="7">
        <v>31.75</v>
      </c>
      <c r="J599" s="8">
        <v>0.25</v>
      </c>
      <c r="K599" s="9">
        <f>39.69</f>
        <v>39.69</v>
      </c>
      <c r="L599" s="9">
        <f>3746.74</f>
        <v>3746.74</v>
      </c>
      <c r="M599" s="4"/>
      <c r="N599" s="10">
        <v>1</v>
      </c>
      <c r="O599" s="4" t="s">
        <v>26</v>
      </c>
      <c r="P599" s="11">
        <v>94.4</v>
      </c>
      <c r="Q599" s="9">
        <f>3746.74</f>
        <v>3746.74</v>
      </c>
    </row>
    <row r="600" spans="1:17" ht="45" customHeight="1" x14ac:dyDescent="0.25">
      <c r="A600" s="4" t="s">
        <v>20</v>
      </c>
      <c r="B600" s="5" t="s">
        <v>1682</v>
      </c>
      <c r="C600" s="4" t="s">
        <v>30</v>
      </c>
      <c r="D600" s="4" t="s">
        <v>96</v>
      </c>
      <c r="E600" s="4" t="s">
        <v>97</v>
      </c>
      <c r="F600" s="6">
        <f>3.9</f>
        <v>3.9</v>
      </c>
      <c r="G600" s="4" t="s">
        <v>65</v>
      </c>
      <c r="H600" s="7">
        <v>227.52</v>
      </c>
      <c r="I600" s="7">
        <v>227.52</v>
      </c>
      <c r="J600" s="8">
        <v>0.25</v>
      </c>
      <c r="K600" s="9">
        <f>284.4</f>
        <v>284.39999999999998</v>
      </c>
      <c r="L600" s="9">
        <f>1109.16</f>
        <v>1109.1600000000001</v>
      </c>
      <c r="M600" s="4"/>
      <c r="N600" s="10">
        <v>1</v>
      </c>
      <c r="O600" s="4" t="s">
        <v>26</v>
      </c>
      <c r="P600" s="11">
        <v>3.9</v>
      </c>
      <c r="Q600" s="9">
        <f>1109.16</f>
        <v>1109.1600000000001</v>
      </c>
    </row>
    <row r="601" spans="1:17" ht="45" customHeight="1" x14ac:dyDescent="0.25">
      <c r="A601" s="4" t="s">
        <v>20</v>
      </c>
      <c r="B601" s="5" t="s">
        <v>1683</v>
      </c>
      <c r="C601" s="4" t="s">
        <v>30</v>
      </c>
      <c r="D601" s="4" t="s">
        <v>99</v>
      </c>
      <c r="E601" s="4" t="s">
        <v>100</v>
      </c>
      <c r="F601" s="6">
        <f>78</f>
        <v>78</v>
      </c>
      <c r="G601" s="4" t="s">
        <v>33</v>
      </c>
      <c r="H601" s="7">
        <v>42.62</v>
      </c>
      <c r="I601" s="7">
        <v>42.62</v>
      </c>
      <c r="J601" s="8">
        <v>0.25</v>
      </c>
      <c r="K601" s="9">
        <f>53.28</f>
        <v>53.28</v>
      </c>
      <c r="L601" s="9">
        <f>4155.84</f>
        <v>4155.84</v>
      </c>
      <c r="M601" s="4"/>
      <c r="N601" s="10">
        <v>1</v>
      </c>
      <c r="O601" s="4" t="s">
        <v>26</v>
      </c>
      <c r="P601" s="11">
        <v>78</v>
      </c>
      <c r="Q601" s="9">
        <f>4155.84</f>
        <v>4155.84</v>
      </c>
    </row>
    <row r="602" spans="1:17" ht="45" customHeight="1" x14ac:dyDescent="0.25">
      <c r="A602" s="4" t="s">
        <v>20</v>
      </c>
      <c r="B602" s="5" t="s">
        <v>1684</v>
      </c>
      <c r="C602" s="4" t="s">
        <v>30</v>
      </c>
      <c r="D602" s="4" t="s">
        <v>102</v>
      </c>
      <c r="E602" s="4" t="s">
        <v>103</v>
      </c>
      <c r="F602" s="6">
        <f>46.4</f>
        <v>46.4</v>
      </c>
      <c r="G602" s="4" t="s">
        <v>33</v>
      </c>
      <c r="H602" s="7">
        <v>136.44</v>
      </c>
      <c r="I602" s="7">
        <v>136.44</v>
      </c>
      <c r="J602" s="8">
        <v>0.25</v>
      </c>
      <c r="K602" s="9">
        <f>170.55</f>
        <v>170.55</v>
      </c>
      <c r="L602" s="9">
        <f>7913.52</f>
        <v>7913.52</v>
      </c>
      <c r="M602" s="4"/>
      <c r="N602" s="10">
        <v>1</v>
      </c>
      <c r="O602" s="4" t="s">
        <v>26</v>
      </c>
      <c r="P602" s="11">
        <v>46.4</v>
      </c>
      <c r="Q602" s="9">
        <f>7913.52</f>
        <v>7913.52</v>
      </c>
    </row>
    <row r="603" spans="1:17" ht="45" customHeight="1" x14ac:dyDescent="0.25">
      <c r="A603" s="4" t="s">
        <v>20</v>
      </c>
      <c r="B603" s="5" t="s">
        <v>1685</v>
      </c>
      <c r="C603" s="4" t="s">
        <v>30</v>
      </c>
      <c r="D603" s="4" t="s">
        <v>105</v>
      </c>
      <c r="E603" s="4" t="s">
        <v>106</v>
      </c>
      <c r="F603" s="6">
        <f>163.06</f>
        <v>163.06</v>
      </c>
      <c r="G603" s="4" t="s">
        <v>107</v>
      </c>
      <c r="H603" s="7">
        <v>14.64</v>
      </c>
      <c r="I603" s="7">
        <v>14.64</v>
      </c>
      <c r="J603" s="8">
        <v>0.25</v>
      </c>
      <c r="K603" s="9">
        <f>18.3</f>
        <v>18.3</v>
      </c>
      <c r="L603" s="9">
        <f>2984</f>
        <v>2984</v>
      </c>
      <c r="M603" s="4"/>
      <c r="N603" s="10">
        <v>1</v>
      </c>
      <c r="O603" s="4" t="s">
        <v>26</v>
      </c>
      <c r="P603" s="11">
        <v>163.06</v>
      </c>
      <c r="Q603" s="9">
        <f>2984</f>
        <v>2984</v>
      </c>
    </row>
    <row r="604" spans="1:17" ht="45" customHeight="1" x14ac:dyDescent="0.25">
      <c r="A604" s="4" t="s">
        <v>20</v>
      </c>
      <c r="B604" s="5" t="s">
        <v>1686</v>
      </c>
      <c r="C604" s="4" t="s">
        <v>30</v>
      </c>
      <c r="D604" s="4" t="s">
        <v>109</v>
      </c>
      <c r="E604" s="4" t="s">
        <v>110</v>
      </c>
      <c r="F604" s="6">
        <f>146.11</f>
        <v>146.11000000000001</v>
      </c>
      <c r="G604" s="4" t="s">
        <v>107</v>
      </c>
      <c r="H604" s="7">
        <v>12.99</v>
      </c>
      <c r="I604" s="7">
        <v>12.99</v>
      </c>
      <c r="J604" s="8">
        <v>0.25</v>
      </c>
      <c r="K604" s="9">
        <f>16.24</f>
        <v>16.239999999999998</v>
      </c>
      <c r="L604" s="9">
        <f>2372.83</f>
        <v>2372.83</v>
      </c>
      <c r="M604" s="4"/>
      <c r="N604" s="10">
        <v>1</v>
      </c>
      <c r="O604" s="4" t="s">
        <v>26</v>
      </c>
      <c r="P604" s="11">
        <v>146.11000000000001</v>
      </c>
      <c r="Q604" s="9">
        <f>2372.83</f>
        <v>2372.83</v>
      </c>
    </row>
    <row r="605" spans="1:17" ht="45" customHeight="1" x14ac:dyDescent="0.25">
      <c r="A605" s="4" t="s">
        <v>20</v>
      </c>
      <c r="B605" s="5" t="s">
        <v>1687</v>
      </c>
      <c r="C605" s="4" t="s">
        <v>30</v>
      </c>
      <c r="D605" s="4" t="s">
        <v>112</v>
      </c>
      <c r="E605" s="4" t="s">
        <v>113</v>
      </c>
      <c r="F605" s="6">
        <f>40.9</f>
        <v>40.9</v>
      </c>
      <c r="G605" s="4" t="s">
        <v>107</v>
      </c>
      <c r="H605" s="7">
        <v>17.32</v>
      </c>
      <c r="I605" s="7">
        <v>17.32</v>
      </c>
      <c r="J605" s="8">
        <v>0.25</v>
      </c>
      <c r="K605" s="9">
        <f>21.65</f>
        <v>21.65</v>
      </c>
      <c r="L605" s="9">
        <f>885.49</f>
        <v>885.49</v>
      </c>
      <c r="M605" s="4"/>
      <c r="N605" s="10">
        <v>1</v>
      </c>
      <c r="O605" s="4" t="s">
        <v>26</v>
      </c>
      <c r="P605" s="11">
        <v>40.9</v>
      </c>
      <c r="Q605" s="9">
        <f>885.49</f>
        <v>885.49</v>
      </c>
    </row>
    <row r="606" spans="1:17" ht="45" customHeight="1" x14ac:dyDescent="0.25">
      <c r="A606" s="4" t="s">
        <v>20</v>
      </c>
      <c r="B606" s="5" t="s">
        <v>1688</v>
      </c>
      <c r="C606" s="4" t="s">
        <v>30</v>
      </c>
      <c r="D606" s="4" t="s">
        <v>115</v>
      </c>
      <c r="E606" s="4" t="s">
        <v>116</v>
      </c>
      <c r="F606" s="6">
        <f>5.72</f>
        <v>5.72</v>
      </c>
      <c r="G606" s="4" t="s">
        <v>65</v>
      </c>
      <c r="H606" s="7">
        <v>820.89</v>
      </c>
      <c r="I606" s="7">
        <v>820.89</v>
      </c>
      <c r="J606" s="8">
        <v>0.25</v>
      </c>
      <c r="K606" s="9">
        <f>1026.11</f>
        <v>1026.1099999999999</v>
      </c>
      <c r="L606" s="9">
        <f>5869.35</f>
        <v>5869.35</v>
      </c>
      <c r="M606" s="4"/>
      <c r="N606" s="10">
        <v>1</v>
      </c>
      <c r="O606" s="4" t="s">
        <v>26</v>
      </c>
      <c r="P606" s="11">
        <v>5.72</v>
      </c>
      <c r="Q606" s="9">
        <f>5869.35</f>
        <v>5869.35</v>
      </c>
    </row>
    <row r="607" spans="1:17" ht="45" customHeight="1" x14ac:dyDescent="0.25">
      <c r="A607" s="4" t="s">
        <v>20</v>
      </c>
      <c r="B607" s="5" t="s">
        <v>1689</v>
      </c>
      <c r="C607" s="4" t="s">
        <v>30</v>
      </c>
      <c r="D607" s="4" t="s">
        <v>96</v>
      </c>
      <c r="E607" s="4" t="s">
        <v>97</v>
      </c>
      <c r="F607" s="6">
        <f>5.92</f>
        <v>5.92</v>
      </c>
      <c r="G607" s="4" t="s">
        <v>65</v>
      </c>
      <c r="H607" s="7">
        <v>227.52</v>
      </c>
      <c r="I607" s="7">
        <v>227.52</v>
      </c>
      <c r="J607" s="8">
        <v>0.25</v>
      </c>
      <c r="K607" s="9">
        <f>284.4</f>
        <v>284.39999999999998</v>
      </c>
      <c r="L607" s="9">
        <f>1683.65</f>
        <v>1683.65</v>
      </c>
      <c r="M607" s="4"/>
      <c r="N607" s="10">
        <v>1</v>
      </c>
      <c r="O607" s="4" t="s">
        <v>26</v>
      </c>
      <c r="P607" s="11">
        <v>5.92</v>
      </c>
      <c r="Q607" s="9">
        <f>1683.65</f>
        <v>1683.65</v>
      </c>
    </row>
    <row r="608" spans="1:17" ht="45" customHeight="1" x14ac:dyDescent="0.25">
      <c r="A608" s="4" t="s">
        <v>20</v>
      </c>
      <c r="B608" s="5" t="s">
        <v>1690</v>
      </c>
      <c r="C608" s="4" t="s">
        <v>30</v>
      </c>
      <c r="D608" s="4" t="s">
        <v>99</v>
      </c>
      <c r="E608" s="4" t="s">
        <v>100</v>
      </c>
      <c r="F608" s="6">
        <f>118.47</f>
        <v>118.47</v>
      </c>
      <c r="G608" s="4" t="s">
        <v>33</v>
      </c>
      <c r="H608" s="7">
        <v>42.62</v>
      </c>
      <c r="I608" s="7">
        <v>42.62</v>
      </c>
      <c r="J608" s="8">
        <v>0.25</v>
      </c>
      <c r="K608" s="9">
        <f>53.28</f>
        <v>53.28</v>
      </c>
      <c r="L608" s="9">
        <f>6312.08</f>
        <v>6312.08</v>
      </c>
      <c r="M608" s="4"/>
      <c r="N608" s="10">
        <v>1</v>
      </c>
      <c r="O608" s="4" t="s">
        <v>26</v>
      </c>
      <c r="P608" s="11">
        <v>118.47</v>
      </c>
      <c r="Q608" s="9">
        <f>6312.08</f>
        <v>6312.08</v>
      </c>
    </row>
    <row r="609" spans="1:17" ht="45" customHeight="1" x14ac:dyDescent="0.25">
      <c r="A609" s="4" t="s">
        <v>20</v>
      </c>
      <c r="B609" s="5" t="s">
        <v>1691</v>
      </c>
      <c r="C609" s="4" t="s">
        <v>30</v>
      </c>
      <c r="D609" s="4" t="s">
        <v>148</v>
      </c>
      <c r="E609" s="4" t="s">
        <v>149</v>
      </c>
      <c r="F609" s="6">
        <f>74.82</f>
        <v>74.819999999999993</v>
      </c>
      <c r="G609" s="4" t="s">
        <v>33</v>
      </c>
      <c r="H609" s="7">
        <v>67.11</v>
      </c>
      <c r="I609" s="7">
        <v>67.11</v>
      </c>
      <c r="J609" s="8">
        <v>0.25</v>
      </c>
      <c r="K609" s="9">
        <f>83.89</f>
        <v>83.89</v>
      </c>
      <c r="L609" s="9">
        <f>6276.65</f>
        <v>6276.65</v>
      </c>
      <c r="M609" s="4"/>
      <c r="N609" s="10">
        <v>1</v>
      </c>
      <c r="O609" s="4" t="s">
        <v>26</v>
      </c>
      <c r="P609" s="11">
        <v>74.819999999999993</v>
      </c>
      <c r="Q609" s="9">
        <f>6276.65</f>
        <v>6276.65</v>
      </c>
    </row>
    <row r="610" spans="1:17" ht="45" customHeight="1" x14ac:dyDescent="0.25">
      <c r="A610" s="4" t="s">
        <v>20</v>
      </c>
      <c r="B610" s="5" t="s">
        <v>1692</v>
      </c>
      <c r="C610" s="4" t="s">
        <v>30</v>
      </c>
      <c r="D610" s="4" t="s">
        <v>105</v>
      </c>
      <c r="E610" s="4" t="s">
        <v>106</v>
      </c>
      <c r="F610" s="6">
        <f>201.94</f>
        <v>201.94</v>
      </c>
      <c r="G610" s="4" t="s">
        <v>107</v>
      </c>
      <c r="H610" s="7">
        <v>14.64</v>
      </c>
      <c r="I610" s="7">
        <v>14.64</v>
      </c>
      <c r="J610" s="8">
        <v>0.25</v>
      </c>
      <c r="K610" s="9">
        <f>18.3</f>
        <v>18.3</v>
      </c>
      <c r="L610" s="9">
        <f>3695.5</f>
        <v>3695.5</v>
      </c>
      <c r="M610" s="4"/>
      <c r="N610" s="10">
        <v>1</v>
      </c>
      <c r="O610" s="4" t="s">
        <v>26</v>
      </c>
      <c r="P610" s="11">
        <v>201.94</v>
      </c>
      <c r="Q610" s="9">
        <f>3695.5</f>
        <v>3695.5</v>
      </c>
    </row>
    <row r="611" spans="1:17" ht="45" customHeight="1" x14ac:dyDescent="0.25">
      <c r="A611" s="4" t="s">
        <v>20</v>
      </c>
      <c r="B611" s="5" t="s">
        <v>1693</v>
      </c>
      <c r="C611" s="4" t="s">
        <v>30</v>
      </c>
      <c r="D611" s="4" t="s">
        <v>112</v>
      </c>
      <c r="E611" s="4" t="s">
        <v>113</v>
      </c>
      <c r="F611" s="6">
        <f>72</f>
        <v>72</v>
      </c>
      <c r="G611" s="4" t="s">
        <v>107</v>
      </c>
      <c r="H611" s="7">
        <v>17.32</v>
      </c>
      <c r="I611" s="7">
        <v>17.32</v>
      </c>
      <c r="J611" s="8">
        <v>0.25</v>
      </c>
      <c r="K611" s="9">
        <f>21.65</f>
        <v>21.65</v>
      </c>
      <c r="L611" s="9">
        <f>1558.8</f>
        <v>1558.8</v>
      </c>
      <c r="M611" s="4"/>
      <c r="N611" s="10">
        <v>1</v>
      </c>
      <c r="O611" s="4" t="s">
        <v>26</v>
      </c>
      <c r="P611" s="11">
        <v>72</v>
      </c>
      <c r="Q611" s="9">
        <f>1558.8</f>
        <v>1558.8</v>
      </c>
    </row>
    <row r="612" spans="1:17" ht="45" customHeight="1" x14ac:dyDescent="0.25">
      <c r="A612" s="4" t="s">
        <v>20</v>
      </c>
      <c r="B612" s="5" t="s">
        <v>1694</v>
      </c>
      <c r="C612" s="4" t="s">
        <v>30</v>
      </c>
      <c r="D612" s="4" t="s">
        <v>141</v>
      </c>
      <c r="E612" s="4" t="s">
        <v>142</v>
      </c>
      <c r="F612" s="6">
        <f>5.61</f>
        <v>5.61</v>
      </c>
      <c r="G612" s="4" t="s">
        <v>65</v>
      </c>
      <c r="H612" s="7">
        <v>785.16</v>
      </c>
      <c r="I612" s="7">
        <v>785.16</v>
      </c>
      <c r="J612" s="8">
        <v>0.25</v>
      </c>
      <c r="K612" s="9">
        <f>981.45</f>
        <v>981.45</v>
      </c>
      <c r="L612" s="9">
        <f>5505.93</f>
        <v>5505.93</v>
      </c>
      <c r="M612" s="4"/>
      <c r="N612" s="10">
        <v>1</v>
      </c>
      <c r="O612" s="4" t="s">
        <v>26</v>
      </c>
      <c r="P612" s="11">
        <v>5.61</v>
      </c>
      <c r="Q612" s="9">
        <f>5505.93</f>
        <v>5505.93</v>
      </c>
    </row>
    <row r="613" spans="1:17" ht="45" customHeight="1" x14ac:dyDescent="0.25">
      <c r="A613" s="4" t="s">
        <v>20</v>
      </c>
      <c r="B613" s="5" t="s">
        <v>1695</v>
      </c>
      <c r="C613" s="4" t="s">
        <v>30</v>
      </c>
      <c r="D613" s="4" t="s">
        <v>156</v>
      </c>
      <c r="E613" s="4" t="s">
        <v>157</v>
      </c>
      <c r="F613" s="6">
        <f>66.88</f>
        <v>66.88</v>
      </c>
      <c r="G613" s="4" t="s">
        <v>33</v>
      </c>
      <c r="H613" s="7">
        <v>57.52</v>
      </c>
      <c r="I613" s="7">
        <v>57.52</v>
      </c>
      <c r="J613" s="8">
        <v>0.25</v>
      </c>
      <c r="K613" s="9">
        <f>71.9</f>
        <v>71.900000000000006</v>
      </c>
      <c r="L613" s="9">
        <f>4808.67</f>
        <v>4808.67</v>
      </c>
      <c r="M613" s="4"/>
      <c r="N613" s="10">
        <v>1</v>
      </c>
      <c r="O613" s="4" t="s">
        <v>26</v>
      </c>
      <c r="P613" s="11">
        <v>66.88</v>
      </c>
      <c r="Q613" s="9">
        <f>4808.67</f>
        <v>4808.67</v>
      </c>
    </row>
    <row r="614" spans="1:17" ht="45" customHeight="1" x14ac:dyDescent="0.25">
      <c r="A614" s="4" t="s">
        <v>20</v>
      </c>
      <c r="B614" s="5" t="s">
        <v>1696</v>
      </c>
      <c r="C614" s="4" t="s">
        <v>30</v>
      </c>
      <c r="D614" s="4" t="s">
        <v>159</v>
      </c>
      <c r="E614" s="4" t="s">
        <v>160</v>
      </c>
      <c r="F614" s="6">
        <f>205.34</f>
        <v>205.34</v>
      </c>
      <c r="G614" s="4" t="s">
        <v>107</v>
      </c>
      <c r="H614" s="7">
        <v>11.13</v>
      </c>
      <c r="I614" s="7">
        <v>11.13</v>
      </c>
      <c r="J614" s="8">
        <v>0.25</v>
      </c>
      <c r="K614" s="9">
        <f>13.91</f>
        <v>13.91</v>
      </c>
      <c r="L614" s="9">
        <f>2856.28</f>
        <v>2856.28</v>
      </c>
      <c r="M614" s="4"/>
      <c r="N614" s="10">
        <v>1</v>
      </c>
      <c r="O614" s="4" t="s">
        <v>26</v>
      </c>
      <c r="P614" s="11">
        <v>205.34</v>
      </c>
      <c r="Q614" s="9">
        <f>2856.28</f>
        <v>2856.28</v>
      </c>
    </row>
    <row r="615" spans="1:17" ht="45" customHeight="1" x14ac:dyDescent="0.25">
      <c r="A615" s="4" t="s">
        <v>20</v>
      </c>
      <c r="B615" s="5" t="s">
        <v>1697</v>
      </c>
      <c r="C615" s="4" t="s">
        <v>30</v>
      </c>
      <c r="D615" s="4" t="s">
        <v>165</v>
      </c>
      <c r="E615" s="4" t="s">
        <v>166</v>
      </c>
      <c r="F615" s="6">
        <f>92.03</f>
        <v>92.03</v>
      </c>
      <c r="G615" s="4" t="s">
        <v>107</v>
      </c>
      <c r="H615" s="7">
        <v>14.4</v>
      </c>
      <c r="I615" s="7">
        <v>14.4</v>
      </c>
      <c r="J615" s="8">
        <v>0.25</v>
      </c>
      <c r="K615" s="9">
        <f>18</f>
        <v>18</v>
      </c>
      <c r="L615" s="9">
        <f>1656.54</f>
        <v>1656.54</v>
      </c>
      <c r="M615" s="4"/>
      <c r="N615" s="10">
        <v>1</v>
      </c>
      <c r="O615" s="4" t="s">
        <v>26</v>
      </c>
      <c r="P615" s="11">
        <v>92.03</v>
      </c>
      <c r="Q615" s="9">
        <f>1656.54</f>
        <v>1656.54</v>
      </c>
    </row>
    <row r="616" spans="1:17" ht="45" customHeight="1" x14ac:dyDescent="0.25">
      <c r="A616" s="4" t="s">
        <v>20</v>
      </c>
      <c r="B616" s="5" t="s">
        <v>1698</v>
      </c>
      <c r="C616" s="4" t="s">
        <v>22</v>
      </c>
      <c r="D616" s="4" t="s">
        <v>168</v>
      </c>
      <c r="E616" s="4" t="s">
        <v>169</v>
      </c>
      <c r="F616" s="6">
        <f>3.19</f>
        <v>3.19</v>
      </c>
      <c r="G616" s="4" t="s">
        <v>65</v>
      </c>
      <c r="H616" s="7">
        <v>730.71</v>
      </c>
      <c r="I616" s="7">
        <v>730.67</v>
      </c>
      <c r="J616" s="8">
        <v>0.25</v>
      </c>
      <c r="K616" s="9">
        <f>913.34</f>
        <v>913.34</v>
      </c>
      <c r="L616" s="9">
        <f>2913.55</f>
        <v>2913.55</v>
      </c>
      <c r="M616" s="4"/>
      <c r="N616" s="10">
        <v>1</v>
      </c>
      <c r="O616" s="4" t="s">
        <v>26</v>
      </c>
      <c r="P616" s="11">
        <v>3.19</v>
      </c>
      <c r="Q616" s="9">
        <f>2913.55</f>
        <v>2913.55</v>
      </c>
    </row>
    <row r="617" spans="1:17" ht="45" customHeight="1" x14ac:dyDescent="0.25">
      <c r="A617" s="4" t="s">
        <v>20</v>
      </c>
      <c r="B617" s="5" t="s">
        <v>1699</v>
      </c>
      <c r="C617" s="4" t="s">
        <v>30</v>
      </c>
      <c r="D617" s="4" t="s">
        <v>171</v>
      </c>
      <c r="E617" s="4" t="s">
        <v>172</v>
      </c>
      <c r="F617" s="6">
        <f>67.34</f>
        <v>67.34</v>
      </c>
      <c r="G617" s="4" t="s">
        <v>33</v>
      </c>
      <c r="H617" s="7">
        <v>72.010000000000005</v>
      </c>
      <c r="I617" s="7">
        <v>72.010000000000005</v>
      </c>
      <c r="J617" s="8">
        <v>0.25</v>
      </c>
      <c r="K617" s="9">
        <f>90.01</f>
        <v>90.01</v>
      </c>
      <c r="L617" s="9">
        <f>6061.27</f>
        <v>6061.27</v>
      </c>
      <c r="M617" s="4"/>
      <c r="N617" s="10">
        <v>1</v>
      </c>
      <c r="O617" s="4" t="s">
        <v>26</v>
      </c>
      <c r="P617" s="11">
        <v>67.34</v>
      </c>
      <c r="Q617" s="9">
        <f>6061.27</f>
        <v>6061.27</v>
      </c>
    </row>
    <row r="618" spans="1:17" ht="45" customHeight="1" x14ac:dyDescent="0.25">
      <c r="A618" s="4" t="s">
        <v>20</v>
      </c>
      <c r="B618" s="5" t="s">
        <v>1700</v>
      </c>
      <c r="C618" s="4" t="s">
        <v>30</v>
      </c>
      <c r="D618" s="4" t="s">
        <v>174</v>
      </c>
      <c r="E618" s="4" t="s">
        <v>175</v>
      </c>
      <c r="F618" s="6">
        <f>202.7</f>
        <v>202.7</v>
      </c>
      <c r="G618" s="4" t="s">
        <v>107</v>
      </c>
      <c r="H618" s="7">
        <v>12.54</v>
      </c>
      <c r="I618" s="7">
        <v>12.54</v>
      </c>
      <c r="J618" s="8">
        <v>0.25</v>
      </c>
      <c r="K618" s="9">
        <f>15.68</f>
        <v>15.68</v>
      </c>
      <c r="L618" s="9">
        <f>3178.34</f>
        <v>3178.34</v>
      </c>
      <c r="M618" s="4"/>
      <c r="N618" s="10">
        <v>1</v>
      </c>
      <c r="O618" s="4" t="s">
        <v>26</v>
      </c>
      <c r="P618" s="11">
        <v>202.7</v>
      </c>
      <c r="Q618" s="9">
        <f>3178.34</f>
        <v>3178.34</v>
      </c>
    </row>
    <row r="619" spans="1:17" ht="45" customHeight="1" x14ac:dyDescent="0.25">
      <c r="A619" s="4" t="s">
        <v>20</v>
      </c>
      <c r="B619" s="5" t="s">
        <v>1701</v>
      </c>
      <c r="C619" s="4" t="s">
        <v>30</v>
      </c>
      <c r="D619" s="4" t="s">
        <v>165</v>
      </c>
      <c r="E619" s="4" t="s">
        <v>166</v>
      </c>
      <c r="F619" s="6">
        <f>74.03</f>
        <v>74.03</v>
      </c>
      <c r="G619" s="4" t="s">
        <v>107</v>
      </c>
      <c r="H619" s="7">
        <v>14.4</v>
      </c>
      <c r="I619" s="7">
        <v>14.4</v>
      </c>
      <c r="J619" s="8">
        <v>0.25</v>
      </c>
      <c r="K619" s="9">
        <f>18</f>
        <v>18</v>
      </c>
      <c r="L619" s="9">
        <f>1332.54</f>
        <v>1332.54</v>
      </c>
      <c r="M619" s="4"/>
      <c r="N619" s="10">
        <v>1</v>
      </c>
      <c r="O619" s="4" t="s">
        <v>26</v>
      </c>
      <c r="P619" s="11">
        <v>74.03</v>
      </c>
      <c r="Q619" s="9">
        <f>1332.54</f>
        <v>1332.54</v>
      </c>
    </row>
    <row r="620" spans="1:17" ht="45" customHeight="1" x14ac:dyDescent="0.25">
      <c r="A620" s="4" t="s">
        <v>20</v>
      </c>
      <c r="B620" s="5" t="s">
        <v>1702</v>
      </c>
      <c r="C620" s="4" t="s">
        <v>22</v>
      </c>
      <c r="D620" s="4" t="s">
        <v>180</v>
      </c>
      <c r="E620" s="4" t="s">
        <v>181</v>
      </c>
      <c r="F620" s="6">
        <f>3.49</f>
        <v>3.49</v>
      </c>
      <c r="G620" s="4" t="s">
        <v>65</v>
      </c>
      <c r="H620" s="7">
        <v>730.77</v>
      </c>
      <c r="I620" s="7">
        <v>730.73</v>
      </c>
      <c r="J620" s="8">
        <v>0.25</v>
      </c>
      <c r="K620" s="9">
        <f>913.41</f>
        <v>913.41</v>
      </c>
      <c r="L620" s="9">
        <f>3187.8</f>
        <v>3187.8</v>
      </c>
      <c r="M620" s="4"/>
      <c r="N620" s="10">
        <v>1</v>
      </c>
      <c r="O620" s="4" t="s">
        <v>26</v>
      </c>
      <c r="P620" s="11">
        <v>3.49</v>
      </c>
      <c r="Q620" s="9">
        <f>3187.8</f>
        <v>3187.8</v>
      </c>
    </row>
    <row r="621" spans="1:17" ht="45" customHeight="1" x14ac:dyDescent="0.25">
      <c r="A621" s="4" t="s">
        <v>20</v>
      </c>
      <c r="B621" s="5" t="s">
        <v>1703</v>
      </c>
      <c r="C621" s="4" t="s">
        <v>22</v>
      </c>
      <c r="D621" s="4" t="s">
        <v>414</v>
      </c>
      <c r="E621" s="4" t="s">
        <v>415</v>
      </c>
      <c r="F621" s="6">
        <f>93.53</f>
        <v>93.53</v>
      </c>
      <c r="G621" s="4" t="s">
        <v>33</v>
      </c>
      <c r="H621" s="7">
        <v>46.86</v>
      </c>
      <c r="I621" s="7">
        <v>46.85</v>
      </c>
      <c r="J621" s="8">
        <v>0.25</v>
      </c>
      <c r="K621" s="9">
        <f>58.56</f>
        <v>58.56</v>
      </c>
      <c r="L621" s="9">
        <f>5477.12</f>
        <v>5477.12</v>
      </c>
      <c r="M621" s="4"/>
      <c r="N621" s="10">
        <v>1</v>
      </c>
      <c r="O621" s="4" t="s">
        <v>26</v>
      </c>
      <c r="P621" s="11">
        <v>93.53</v>
      </c>
      <c r="Q621" s="9">
        <f>5477.12</f>
        <v>5477.12</v>
      </c>
    </row>
    <row r="622" spans="1:17" ht="45" customHeight="1" x14ac:dyDescent="0.25">
      <c r="A622" s="4" t="s">
        <v>20</v>
      </c>
      <c r="B622" s="5" t="s">
        <v>1704</v>
      </c>
      <c r="C622" s="4" t="s">
        <v>30</v>
      </c>
      <c r="D622" s="4" t="s">
        <v>234</v>
      </c>
      <c r="E622" s="4" t="s">
        <v>235</v>
      </c>
      <c r="F622" s="6">
        <f>266.89</f>
        <v>266.89</v>
      </c>
      <c r="G622" s="4" t="s">
        <v>33</v>
      </c>
      <c r="H622" s="7">
        <v>73.05</v>
      </c>
      <c r="I622" s="7">
        <v>73.05</v>
      </c>
      <c r="J622" s="8">
        <v>0.25</v>
      </c>
      <c r="K622" s="9">
        <f>91.31</f>
        <v>91.31</v>
      </c>
      <c r="L622" s="9">
        <f>24369.73</f>
        <v>24369.73</v>
      </c>
      <c r="M622" s="4"/>
      <c r="N622" s="10">
        <v>1</v>
      </c>
      <c r="O622" s="4" t="s">
        <v>26</v>
      </c>
      <c r="P622" s="11">
        <v>266.89</v>
      </c>
      <c r="Q622" s="9">
        <f>24369.73</f>
        <v>24369.73</v>
      </c>
    </row>
    <row r="623" spans="1:17" ht="45" customHeight="1" x14ac:dyDescent="0.25">
      <c r="A623" s="4" t="s">
        <v>20</v>
      </c>
      <c r="B623" s="5" t="s">
        <v>1705</v>
      </c>
      <c r="C623" s="4" t="s">
        <v>30</v>
      </c>
      <c r="D623" s="4" t="s">
        <v>246</v>
      </c>
      <c r="E623" s="4" t="s">
        <v>247</v>
      </c>
      <c r="F623" s="6">
        <f>129.58</f>
        <v>129.58000000000001</v>
      </c>
      <c r="G623" s="4" t="s">
        <v>46</v>
      </c>
      <c r="H623" s="7">
        <v>12.44</v>
      </c>
      <c r="I623" s="7">
        <v>12.44</v>
      </c>
      <c r="J623" s="8">
        <v>0.25</v>
      </c>
      <c r="K623" s="9">
        <f>15.55</f>
        <v>15.55</v>
      </c>
      <c r="L623" s="9">
        <f>2014.97</f>
        <v>2014.97</v>
      </c>
      <c r="M623" s="4"/>
      <c r="N623" s="10">
        <v>1</v>
      </c>
      <c r="O623" s="4" t="s">
        <v>26</v>
      </c>
      <c r="P623" s="11">
        <v>129.58000000000001</v>
      </c>
      <c r="Q623" s="9">
        <f>2014.97</f>
        <v>2014.97</v>
      </c>
    </row>
    <row r="624" spans="1:17" ht="45" customHeight="1" x14ac:dyDescent="0.25">
      <c r="A624" s="4" t="s">
        <v>20</v>
      </c>
      <c r="B624" s="5" t="s">
        <v>1706</v>
      </c>
      <c r="C624" s="4" t="s">
        <v>22</v>
      </c>
      <c r="D624" s="4" t="s">
        <v>1707</v>
      </c>
      <c r="E624" s="4" t="s">
        <v>1708</v>
      </c>
      <c r="F624" s="6">
        <f>269.2</f>
        <v>269.2</v>
      </c>
      <c r="G624" s="4" t="s">
        <v>33</v>
      </c>
      <c r="H624" s="7">
        <v>7.61</v>
      </c>
      <c r="I624" s="7">
        <v>7.59</v>
      </c>
      <c r="J624" s="8">
        <v>0.25</v>
      </c>
      <c r="K624" s="9">
        <f>9.49</f>
        <v>9.49</v>
      </c>
      <c r="L624" s="9">
        <f>2554.71</f>
        <v>2554.71</v>
      </c>
      <c r="M624" s="4"/>
      <c r="N624" s="10">
        <v>1</v>
      </c>
      <c r="O624" s="4" t="s">
        <v>26</v>
      </c>
      <c r="P624" s="11">
        <v>269.2</v>
      </c>
      <c r="Q624" s="9">
        <f>2554.71</f>
        <v>2554.71</v>
      </c>
    </row>
    <row r="625" spans="1:17" ht="45" customHeight="1" x14ac:dyDescent="0.25">
      <c r="A625" s="4" t="s">
        <v>20</v>
      </c>
      <c r="B625" s="5" t="s">
        <v>1709</v>
      </c>
      <c r="C625" s="4" t="s">
        <v>22</v>
      </c>
      <c r="D625" s="4" t="s">
        <v>1710</v>
      </c>
      <c r="E625" s="4" t="s">
        <v>1711</v>
      </c>
      <c r="F625" s="6">
        <f>269.2</f>
        <v>269.2</v>
      </c>
      <c r="G625" s="4" t="s">
        <v>33</v>
      </c>
      <c r="H625" s="7">
        <v>7.61</v>
      </c>
      <c r="I625" s="7">
        <v>7.59</v>
      </c>
      <c r="J625" s="8">
        <v>0.25</v>
      </c>
      <c r="K625" s="9">
        <f>9.49</f>
        <v>9.49</v>
      </c>
      <c r="L625" s="9">
        <f>2554.71</f>
        <v>2554.71</v>
      </c>
      <c r="M625" s="4"/>
      <c r="N625" s="10">
        <v>1</v>
      </c>
      <c r="O625" s="4" t="s">
        <v>26</v>
      </c>
      <c r="P625" s="11">
        <v>269.2</v>
      </c>
      <c r="Q625" s="9">
        <f>2554.71</f>
        <v>2554.71</v>
      </c>
    </row>
    <row r="626" spans="1:17" ht="45" customHeight="1" x14ac:dyDescent="0.25">
      <c r="A626" s="4" t="s">
        <v>20</v>
      </c>
      <c r="B626" s="5" t="s">
        <v>1712</v>
      </c>
      <c r="C626" s="4" t="s">
        <v>22</v>
      </c>
      <c r="D626" s="4" t="s">
        <v>1713</v>
      </c>
      <c r="E626" s="4" t="s">
        <v>1714</v>
      </c>
      <c r="F626" s="6">
        <f>269.2</f>
        <v>269.2</v>
      </c>
      <c r="G626" s="4" t="s">
        <v>33</v>
      </c>
      <c r="H626" s="7">
        <v>43.9</v>
      </c>
      <c r="I626" s="7">
        <v>43.88</v>
      </c>
      <c r="J626" s="8">
        <v>0.25</v>
      </c>
      <c r="K626" s="9">
        <f>54.85</f>
        <v>54.85</v>
      </c>
      <c r="L626" s="9">
        <f>14765.62</f>
        <v>14765.62</v>
      </c>
      <c r="M626" s="4"/>
      <c r="N626" s="10">
        <v>1</v>
      </c>
      <c r="O626" s="4" t="s">
        <v>26</v>
      </c>
      <c r="P626" s="11">
        <v>269.2</v>
      </c>
      <c r="Q626" s="9">
        <f>14765.62</f>
        <v>14765.62</v>
      </c>
    </row>
    <row r="627" spans="1:17" ht="45" customHeight="1" x14ac:dyDescent="0.25">
      <c r="A627" s="4" t="s">
        <v>20</v>
      </c>
      <c r="B627" s="5" t="s">
        <v>1715</v>
      </c>
      <c r="C627" s="4" t="s">
        <v>22</v>
      </c>
      <c r="D627" s="4" t="s">
        <v>1716</v>
      </c>
      <c r="E627" s="4" t="s">
        <v>1717</v>
      </c>
      <c r="F627" s="6">
        <f>269.2</f>
        <v>269.2</v>
      </c>
      <c r="G627" s="4" t="s">
        <v>33</v>
      </c>
      <c r="H627" s="7">
        <v>43.9</v>
      </c>
      <c r="I627" s="7">
        <v>43.88</v>
      </c>
      <c r="J627" s="8">
        <v>0.25</v>
      </c>
      <c r="K627" s="9">
        <f>54.85</f>
        <v>54.85</v>
      </c>
      <c r="L627" s="9">
        <f>14765.62</f>
        <v>14765.62</v>
      </c>
      <c r="M627" s="4"/>
      <c r="N627" s="10">
        <v>1</v>
      </c>
      <c r="O627" s="4" t="s">
        <v>26</v>
      </c>
      <c r="P627" s="11">
        <v>269.2</v>
      </c>
      <c r="Q627" s="9">
        <f>14765.62</f>
        <v>14765.62</v>
      </c>
    </row>
    <row r="628" spans="1:17" ht="45" customHeight="1" x14ac:dyDescent="0.25">
      <c r="A628" s="4" t="s">
        <v>20</v>
      </c>
      <c r="B628" s="5" t="s">
        <v>1718</v>
      </c>
      <c r="C628" s="4" t="s">
        <v>30</v>
      </c>
      <c r="D628" s="4" t="s">
        <v>409</v>
      </c>
      <c r="E628" s="4" t="s">
        <v>410</v>
      </c>
      <c r="F628" s="6">
        <f>85.08</f>
        <v>85.08</v>
      </c>
      <c r="G628" s="4" t="s">
        <v>46</v>
      </c>
      <c r="H628" s="7">
        <v>45.9</v>
      </c>
      <c r="I628" s="7">
        <v>45.9</v>
      </c>
      <c r="J628" s="8">
        <v>0.25</v>
      </c>
      <c r="K628" s="9">
        <f>57.38</f>
        <v>57.38</v>
      </c>
      <c r="L628" s="9">
        <f>4881.89</f>
        <v>4881.8900000000003</v>
      </c>
      <c r="M628" s="4"/>
      <c r="N628" s="10">
        <v>1</v>
      </c>
      <c r="O628" s="4" t="s">
        <v>26</v>
      </c>
      <c r="P628" s="11">
        <v>85.08</v>
      </c>
      <c r="Q628" s="9">
        <f>4881.89</f>
        <v>4881.8900000000003</v>
      </c>
    </row>
    <row r="629" spans="1:17" ht="45" customHeight="1" x14ac:dyDescent="0.25">
      <c r="A629" s="4" t="s">
        <v>20</v>
      </c>
      <c r="B629" s="5" t="s">
        <v>1719</v>
      </c>
      <c r="C629" s="4" t="s">
        <v>22</v>
      </c>
      <c r="D629" s="4" t="s">
        <v>1720</v>
      </c>
      <c r="E629" s="4" t="s">
        <v>1721</v>
      </c>
      <c r="F629" s="6">
        <f>269.2</f>
        <v>269.2</v>
      </c>
      <c r="G629" s="4" t="s">
        <v>33</v>
      </c>
      <c r="H629" s="7">
        <v>17.12</v>
      </c>
      <c r="I629" s="7">
        <v>17.12</v>
      </c>
      <c r="J629" s="8">
        <v>0.25</v>
      </c>
      <c r="K629" s="9">
        <f>21.4</f>
        <v>21.4</v>
      </c>
      <c r="L629" s="9">
        <f>5760.88</f>
        <v>5760.88</v>
      </c>
      <c r="M629" s="4"/>
      <c r="N629" s="10">
        <v>1</v>
      </c>
      <c r="O629" s="4" t="s">
        <v>26</v>
      </c>
      <c r="P629" s="11">
        <v>269.2</v>
      </c>
      <c r="Q629" s="9">
        <f>5760.88</f>
        <v>5760.88</v>
      </c>
    </row>
    <row r="630" spans="1:17" ht="45" customHeight="1" x14ac:dyDescent="0.25">
      <c r="A630" s="4" t="s">
        <v>20</v>
      </c>
      <c r="B630" s="5" t="s">
        <v>1722</v>
      </c>
      <c r="C630" s="4" t="s">
        <v>22</v>
      </c>
      <c r="D630" s="4" t="s">
        <v>1723</v>
      </c>
      <c r="E630" s="4" t="s">
        <v>1724</v>
      </c>
      <c r="F630" s="6">
        <f>269.2</f>
        <v>269.2</v>
      </c>
      <c r="G630" s="4" t="s">
        <v>33</v>
      </c>
      <c r="H630" s="7">
        <v>17.12</v>
      </c>
      <c r="I630" s="7">
        <v>17.12</v>
      </c>
      <c r="J630" s="8">
        <v>0.25</v>
      </c>
      <c r="K630" s="9">
        <f>21.4</f>
        <v>21.4</v>
      </c>
      <c r="L630" s="9">
        <f>5760.88</f>
        <v>5760.88</v>
      </c>
      <c r="M630" s="4"/>
      <c r="N630" s="10">
        <v>1</v>
      </c>
      <c r="O630" s="4" t="s">
        <v>26</v>
      </c>
      <c r="P630" s="11">
        <v>269.2</v>
      </c>
      <c r="Q630" s="9">
        <f>5760.88</f>
        <v>5760.88</v>
      </c>
    </row>
    <row r="631" spans="1:17" ht="45" customHeight="1" x14ac:dyDescent="0.25">
      <c r="A631" s="4" t="s">
        <v>17</v>
      </c>
      <c r="B631" s="5" t="s">
        <v>1725</v>
      </c>
      <c r="C631" s="4"/>
      <c r="D631" s="4"/>
      <c r="E631" s="4" t="s">
        <v>1726</v>
      </c>
      <c r="F631" s="6"/>
      <c r="G631" s="4"/>
      <c r="H631" s="7"/>
      <c r="I631" s="7"/>
      <c r="J631" s="8"/>
      <c r="K631" s="9"/>
      <c r="L631" s="9">
        <f>35228.96</f>
        <v>35228.959999999999</v>
      </c>
      <c r="M631" s="4"/>
      <c r="N631" s="10"/>
      <c r="O631" s="4"/>
      <c r="P631" s="11"/>
      <c r="Q631" s="9"/>
    </row>
    <row r="632" spans="1:17" ht="45" customHeight="1" x14ac:dyDescent="0.25">
      <c r="A632" s="4" t="s">
        <v>20</v>
      </c>
      <c r="B632" s="5" t="s">
        <v>1727</v>
      </c>
      <c r="C632" s="4" t="s">
        <v>22</v>
      </c>
      <c r="D632" s="4" t="s">
        <v>1728</v>
      </c>
      <c r="E632" s="4" t="s">
        <v>1729</v>
      </c>
      <c r="F632" s="6">
        <f>961.87</f>
        <v>961.87</v>
      </c>
      <c r="G632" s="4" t="s">
        <v>33</v>
      </c>
      <c r="H632" s="7">
        <v>17.38</v>
      </c>
      <c r="I632" s="7">
        <v>17.38</v>
      </c>
      <c r="J632" s="8">
        <v>0.25</v>
      </c>
      <c r="K632" s="9">
        <f>21.73</f>
        <v>21.73</v>
      </c>
      <c r="L632" s="9">
        <f>20901.44</f>
        <v>20901.439999999999</v>
      </c>
      <c r="M632" s="4"/>
      <c r="N632" s="10">
        <v>1</v>
      </c>
      <c r="O632" s="4" t="s">
        <v>26</v>
      </c>
      <c r="P632" s="11">
        <v>961.87</v>
      </c>
      <c r="Q632" s="9">
        <f>20901.44</f>
        <v>20901.439999999999</v>
      </c>
    </row>
    <row r="633" spans="1:17" ht="45" customHeight="1" x14ac:dyDescent="0.25">
      <c r="A633" s="4" t="s">
        <v>20</v>
      </c>
      <c r="B633" s="5" t="s">
        <v>1730</v>
      </c>
      <c r="C633" s="4" t="s">
        <v>22</v>
      </c>
      <c r="D633" s="4" t="s">
        <v>1731</v>
      </c>
      <c r="E633" s="4" t="s">
        <v>1732</v>
      </c>
      <c r="F633" s="6">
        <f>961.87</f>
        <v>961.87</v>
      </c>
      <c r="G633" s="4" t="s">
        <v>33</v>
      </c>
      <c r="H633" s="7">
        <v>9.52</v>
      </c>
      <c r="I633" s="7">
        <v>9.4700000000000006</v>
      </c>
      <c r="J633" s="8">
        <v>0.25</v>
      </c>
      <c r="K633" s="9">
        <f>11.84</f>
        <v>11.84</v>
      </c>
      <c r="L633" s="9">
        <f>11388.54</f>
        <v>11388.54</v>
      </c>
      <c r="M633" s="4"/>
      <c r="N633" s="10">
        <v>1</v>
      </c>
      <c r="O633" s="4" t="s">
        <v>26</v>
      </c>
      <c r="P633" s="11">
        <v>961.87</v>
      </c>
      <c r="Q633" s="9">
        <f>11388.54</f>
        <v>11388.54</v>
      </c>
    </row>
    <row r="634" spans="1:17" ht="45" customHeight="1" x14ac:dyDescent="0.25">
      <c r="A634" s="4" t="s">
        <v>20</v>
      </c>
      <c r="B634" s="5" t="s">
        <v>1733</v>
      </c>
      <c r="C634" s="4" t="s">
        <v>22</v>
      </c>
      <c r="D634" s="4" t="s">
        <v>1734</v>
      </c>
      <c r="E634" s="4" t="s">
        <v>1735</v>
      </c>
      <c r="F634" s="6">
        <f>1</f>
        <v>1</v>
      </c>
      <c r="G634" s="4" t="s">
        <v>25</v>
      </c>
      <c r="H634" s="7">
        <v>2351.1799999999998</v>
      </c>
      <c r="I634" s="7">
        <v>2351.1799999999998</v>
      </c>
      <c r="J634" s="8">
        <v>0.25</v>
      </c>
      <c r="K634" s="9">
        <f>2938.98</f>
        <v>2938.98</v>
      </c>
      <c r="L634" s="9">
        <f>2938.98</f>
        <v>2938.98</v>
      </c>
      <c r="M634" s="4"/>
      <c r="N634" s="10">
        <v>1</v>
      </c>
      <c r="O634" s="4" t="s">
        <v>26</v>
      </c>
      <c r="P634" s="11">
        <v>1</v>
      </c>
      <c r="Q634" s="9">
        <f>2938.98</f>
        <v>2938.98</v>
      </c>
    </row>
    <row r="635" spans="1:17" x14ac:dyDescent="0.25">
      <c r="P635" s="13" t="s">
        <v>1736</v>
      </c>
      <c r="Q635" s="14">
        <f>4324820.12</f>
        <v>4324820.12</v>
      </c>
    </row>
    <row r="636" spans="1:17" x14ac:dyDescent="0.25">
      <c r="P636" s="13" t="s">
        <v>1737</v>
      </c>
      <c r="Q636" s="14">
        <f>0</f>
        <v>0</v>
      </c>
    </row>
  </sheetData>
  <sheetProtection autoFilter="0"/>
  <conditionalFormatting sqref="A2:Q2">
    <cfRule type="expression" dxfId="17" priority="12">
      <formula>$A2="Macrosserviço"</formula>
    </cfRule>
  </conditionalFormatting>
  <conditionalFormatting sqref="E2:E634">
    <cfRule type="expression" dxfId="16" priority="14">
      <formula>OR(E2="",IF($A2="Macrosserviço",LEN($E2)&gt;100,LEN($E2)&gt;500))</formula>
    </cfRule>
  </conditionalFormatting>
  <conditionalFormatting sqref="M2:M634">
    <cfRule type="expression" dxfId="15" priority="13">
      <formula>IF($A2="Serviço",LEN(M2)&gt;500,M2&lt;&gt;"")</formula>
    </cfRule>
  </conditionalFormatting>
  <conditionalFormatting sqref="A2:A634">
    <cfRule type="expression" dxfId="14" priority="11">
      <formula>AND(A2&lt;&gt;"Macrosserviço",A2&lt;&gt;"Serviço")</formula>
    </cfRule>
  </conditionalFormatting>
  <conditionalFormatting sqref="C2:C634">
    <cfRule type="expression" dxfId="13" priority="10">
      <formula>IF($A2="Serviço",AND(C2&lt;&gt;"Composição",C2&lt;&gt;"Cotação",C2&lt;&gt;"SINAPI",C2&lt;&gt;"Outros"),C2&lt;&gt;"")</formula>
    </cfRule>
  </conditionalFormatting>
  <conditionalFormatting sqref="D2:D634">
    <cfRule type="expression" dxfId="12" priority="9">
      <formula>IF($A2="Serviço",OR(D2="",LEN($D2)&gt;13),D2&lt;&gt;"")</formula>
    </cfRule>
  </conditionalFormatting>
  <conditionalFormatting sqref="H2:H634">
    <cfRule type="expression" dxfId="11" priority="8">
      <formula>IF(A2="Serviço",OR(NOT(ISNUMBER(H2)),H2&lt;&gt;ROUND(H2,2),AND(C2&lt;&gt;"SINAPI",H2=0),H2&lt;0,H2&gt;9999999999.99),H2&lt;&gt;"")</formula>
    </cfRule>
  </conditionalFormatting>
  <conditionalFormatting sqref="I2:I634">
    <cfRule type="expression" dxfId="10" priority="7">
      <formula>IF($A2="Serviço",OR(NOT(ISNUMBER(I2)),I2&lt;&gt;ROUND(I2,2),I2&lt;=0,I2&gt;9999999999.99,AND(I2&gt;H2,H2&gt;0)),I2&lt;&gt;"")</formula>
    </cfRule>
  </conditionalFormatting>
  <conditionalFormatting sqref="J2:J634">
    <cfRule type="expression" dxfId="9" priority="6">
      <formula>IF($A2="Serviço",OR(NOT(ISNUMBER(VALUE(J2))),VALUE(J2)&lt;&gt;ROUND(VALUE(J2),4),VALUE(J2)&lt;=0,VALUE(J2)&gt;100%),J2&lt;&gt;"")</formula>
    </cfRule>
  </conditionalFormatting>
  <conditionalFormatting sqref="B2:B634">
    <cfRule type="cellIs" dxfId="8" priority="5" operator="equal">
      <formula>""</formula>
    </cfRule>
  </conditionalFormatting>
  <conditionalFormatting sqref="N2:N634">
    <cfRule type="expression" dxfId="7" priority="4">
      <formula>IF($A2="Macrosserviço",N2&lt;&gt;"",OR(NOT(ISNUMBER(N2)),N2&lt;&gt;ROUND(N2,0),N2&lt;1,N2&gt;999))</formula>
    </cfRule>
  </conditionalFormatting>
  <conditionalFormatting sqref="O2:O634">
    <cfRule type="expression" dxfId="6" priority="3">
      <formula>IF($A2="Macrosserviço",O2&lt;&gt;"",OR(O2="",LEN(O2)&gt;100))</formula>
    </cfRule>
  </conditionalFormatting>
  <conditionalFormatting sqref="P2:P634">
    <cfRule type="expression" dxfId="5" priority="2">
      <formula>IF($A2="Macrosserviço",P2&lt;&gt;"",OR(NOT(ISNUMBER(P2)),P2&lt;&gt;ROUND(P2,2),P2&lt;=0,P2&gt;99999999.99))</formula>
    </cfRule>
  </conditionalFormatting>
  <conditionalFormatting sqref="A3:Q634">
    <cfRule type="expression" dxfId="4" priority="1">
      <formula>$A3="Macrosserviço"</formula>
    </cfRule>
  </conditionalFormatting>
  <pageMargins left="0.78740157480314998" right="0.78740157480314998" top="0.78740157480314998" bottom="0.78740157480314998" header="5.7086614173228396" footer="0.59055118110236204"/>
  <pageSetup paperSize="9" orientation="portrait" r:id="rId1"/>
  <headerFooter>
    <oddHeader>&amp;L_</oddHeader>
    <oddFooter>&amp;LPMv3.16&amp;R&amp;P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C3C03-048C-4755-9E1A-B64F7EE34B9C}">
  <sheetPr codeName="Planilha4"/>
  <dimension ref="A1:D52"/>
  <sheetViews>
    <sheetView workbookViewId="0"/>
  </sheetViews>
  <sheetFormatPr defaultColWidth="9.140625" defaultRowHeight="15" x14ac:dyDescent="0.25"/>
  <cols>
    <col min="1" max="1" width="15" style="3" customWidth="1"/>
    <col min="2" max="2" width="70" style="3" customWidth="1"/>
    <col min="3" max="3" width="10" style="3" customWidth="1"/>
    <col min="4" max="4" width="20" style="3" customWidth="1"/>
    <col min="5" max="16384" width="9.140625" style="3"/>
  </cols>
  <sheetData>
    <row r="1" spans="1:4" x14ac:dyDescent="0.25">
      <c r="A1" s="1" t="s">
        <v>1738</v>
      </c>
      <c r="B1" s="1" t="s">
        <v>17</v>
      </c>
      <c r="C1" s="1" t="s">
        <v>1739</v>
      </c>
      <c r="D1" s="1" t="s">
        <v>1740</v>
      </c>
    </row>
    <row r="2" spans="1:4" ht="45" customHeight="1" x14ac:dyDescent="0.25">
      <c r="A2" s="15">
        <v>1</v>
      </c>
      <c r="B2" s="15" t="s">
        <v>19</v>
      </c>
      <c r="C2" s="16">
        <v>1</v>
      </c>
      <c r="D2" s="17">
        <v>10</v>
      </c>
    </row>
    <row r="3" spans="1:4" ht="45" customHeight="1" x14ac:dyDescent="0.25">
      <c r="A3" s="18"/>
      <c r="B3" s="18"/>
      <c r="C3" s="16">
        <v>2</v>
      </c>
      <c r="D3" s="17">
        <v>10</v>
      </c>
    </row>
    <row r="4" spans="1:4" ht="45" customHeight="1" x14ac:dyDescent="0.25">
      <c r="A4" s="18"/>
      <c r="B4" s="18"/>
      <c r="C4" s="16">
        <v>3</v>
      </c>
      <c r="D4" s="17">
        <v>5</v>
      </c>
    </row>
    <row r="5" spans="1:4" ht="45" customHeight="1" x14ac:dyDescent="0.25">
      <c r="A5" s="18"/>
      <c r="B5" s="18"/>
      <c r="C5" s="16">
        <v>4</v>
      </c>
      <c r="D5" s="17">
        <v>5</v>
      </c>
    </row>
    <row r="6" spans="1:4" ht="45" customHeight="1" x14ac:dyDescent="0.25">
      <c r="A6" s="18"/>
      <c r="B6" s="18"/>
      <c r="C6" s="16">
        <v>5</v>
      </c>
      <c r="D6" s="17">
        <v>5</v>
      </c>
    </row>
    <row r="7" spans="1:4" ht="45" customHeight="1" x14ac:dyDescent="0.25">
      <c r="A7" s="18"/>
      <c r="B7" s="18"/>
      <c r="C7" s="16">
        <v>6</v>
      </c>
      <c r="D7" s="17">
        <v>5</v>
      </c>
    </row>
    <row r="8" spans="1:4" ht="45" customHeight="1" x14ac:dyDescent="0.25">
      <c r="A8" s="18"/>
      <c r="B8" s="18"/>
      <c r="C8" s="16">
        <v>7</v>
      </c>
      <c r="D8" s="17">
        <v>10</v>
      </c>
    </row>
    <row r="9" spans="1:4" ht="45" customHeight="1" x14ac:dyDescent="0.25">
      <c r="A9" s="18"/>
      <c r="B9" s="18"/>
      <c r="C9" s="16">
        <v>8</v>
      </c>
      <c r="D9" s="17">
        <v>10</v>
      </c>
    </row>
    <row r="10" spans="1:4" ht="45" customHeight="1" x14ac:dyDescent="0.25">
      <c r="A10" s="18"/>
      <c r="B10" s="18"/>
      <c r="C10" s="16">
        <v>9</v>
      </c>
      <c r="D10" s="17">
        <v>10</v>
      </c>
    </row>
    <row r="11" spans="1:4" ht="45" customHeight="1" x14ac:dyDescent="0.25">
      <c r="A11" s="18"/>
      <c r="B11" s="18"/>
      <c r="C11" s="16">
        <v>10</v>
      </c>
      <c r="D11" s="17">
        <v>10</v>
      </c>
    </row>
    <row r="12" spans="1:4" ht="45" customHeight="1" x14ac:dyDescent="0.25">
      <c r="A12" s="18"/>
      <c r="B12" s="18"/>
      <c r="C12" s="16">
        <v>11</v>
      </c>
      <c r="D12" s="17">
        <v>10</v>
      </c>
    </row>
    <row r="13" spans="1:4" ht="45" customHeight="1" x14ac:dyDescent="0.25">
      <c r="A13" s="19"/>
      <c r="B13" s="19"/>
      <c r="C13" s="16">
        <v>12</v>
      </c>
      <c r="D13" s="17">
        <v>10</v>
      </c>
    </row>
    <row r="14" spans="1:4" ht="45" customHeight="1" x14ac:dyDescent="0.25">
      <c r="A14" s="16">
        <v>2</v>
      </c>
      <c r="B14" s="16" t="s">
        <v>28</v>
      </c>
      <c r="C14" s="16">
        <v>1</v>
      </c>
      <c r="D14" s="17">
        <v>100</v>
      </c>
    </row>
    <row r="15" spans="1:4" ht="45" customHeight="1" x14ac:dyDescent="0.25">
      <c r="A15" s="16">
        <v>3</v>
      </c>
      <c r="B15" s="16" t="s">
        <v>58</v>
      </c>
      <c r="C15" s="16">
        <v>1</v>
      </c>
      <c r="D15" s="17">
        <v>100</v>
      </c>
    </row>
    <row r="16" spans="1:4" ht="45" customHeight="1" x14ac:dyDescent="0.25">
      <c r="A16" s="16">
        <v>4</v>
      </c>
      <c r="B16" s="16" t="s">
        <v>82</v>
      </c>
      <c r="C16" s="16">
        <v>1</v>
      </c>
      <c r="D16" s="17">
        <v>100</v>
      </c>
    </row>
    <row r="17" spans="1:4" ht="45" customHeight="1" x14ac:dyDescent="0.25">
      <c r="A17" s="15">
        <v>5</v>
      </c>
      <c r="B17" s="15" t="s">
        <v>144</v>
      </c>
      <c r="C17" s="16">
        <v>2</v>
      </c>
      <c r="D17" s="17">
        <v>70</v>
      </c>
    </row>
    <row r="18" spans="1:4" ht="45" customHeight="1" x14ac:dyDescent="0.25">
      <c r="A18" s="19"/>
      <c r="B18" s="19"/>
      <c r="C18" s="16">
        <v>3</v>
      </c>
      <c r="D18" s="17">
        <v>30</v>
      </c>
    </row>
    <row r="19" spans="1:4" ht="45" customHeight="1" x14ac:dyDescent="0.25">
      <c r="A19" s="15">
        <v>6</v>
      </c>
      <c r="B19" s="15" t="s">
        <v>229</v>
      </c>
      <c r="C19" s="16">
        <v>3</v>
      </c>
      <c r="D19" s="17">
        <v>50</v>
      </c>
    </row>
    <row r="20" spans="1:4" ht="45" customHeight="1" x14ac:dyDescent="0.25">
      <c r="A20" s="19"/>
      <c r="B20" s="19"/>
      <c r="C20" s="16">
        <v>4</v>
      </c>
      <c r="D20" s="17">
        <v>50</v>
      </c>
    </row>
    <row r="21" spans="1:4" ht="45" customHeight="1" x14ac:dyDescent="0.25">
      <c r="A21" s="15">
        <v>7</v>
      </c>
      <c r="B21" s="15" t="s">
        <v>267</v>
      </c>
      <c r="C21" s="16">
        <v>7</v>
      </c>
      <c r="D21" s="17">
        <v>35</v>
      </c>
    </row>
    <row r="22" spans="1:4" ht="45" customHeight="1" x14ac:dyDescent="0.25">
      <c r="A22" s="19"/>
      <c r="B22" s="19"/>
      <c r="C22" s="16">
        <v>8</v>
      </c>
      <c r="D22" s="17">
        <v>65</v>
      </c>
    </row>
    <row r="23" spans="1:4" ht="45" customHeight="1" x14ac:dyDescent="0.25">
      <c r="A23" s="15">
        <v>8</v>
      </c>
      <c r="B23" s="15" t="s">
        <v>392</v>
      </c>
      <c r="C23" s="16">
        <v>4</v>
      </c>
      <c r="D23" s="17">
        <v>35</v>
      </c>
    </row>
    <row r="24" spans="1:4" ht="45" customHeight="1" x14ac:dyDescent="0.25">
      <c r="A24" s="19"/>
      <c r="B24" s="19"/>
      <c r="C24" s="16">
        <v>5</v>
      </c>
      <c r="D24" s="17">
        <v>65</v>
      </c>
    </row>
    <row r="25" spans="1:4" ht="45" customHeight="1" x14ac:dyDescent="0.25">
      <c r="A25" s="16">
        <v>9</v>
      </c>
      <c r="B25" s="16" t="s">
        <v>412</v>
      </c>
      <c r="C25" s="16">
        <v>5</v>
      </c>
      <c r="D25" s="17">
        <v>100</v>
      </c>
    </row>
    <row r="26" spans="1:4" ht="45" customHeight="1" x14ac:dyDescent="0.25">
      <c r="A26" s="15">
        <v>10</v>
      </c>
      <c r="B26" s="15" t="s">
        <v>429</v>
      </c>
      <c r="C26" s="16">
        <v>4</v>
      </c>
      <c r="D26" s="17">
        <v>25</v>
      </c>
    </row>
    <row r="27" spans="1:4" ht="45" customHeight="1" x14ac:dyDescent="0.25">
      <c r="A27" s="18"/>
      <c r="B27" s="18"/>
      <c r="C27" s="16">
        <v>5</v>
      </c>
      <c r="D27" s="17">
        <v>25</v>
      </c>
    </row>
    <row r="28" spans="1:4" ht="45" customHeight="1" x14ac:dyDescent="0.25">
      <c r="A28" s="19"/>
      <c r="B28" s="19"/>
      <c r="C28" s="16">
        <v>6</v>
      </c>
      <c r="D28" s="17">
        <v>50</v>
      </c>
    </row>
    <row r="29" spans="1:4" ht="45" customHeight="1" x14ac:dyDescent="0.25">
      <c r="A29" s="15">
        <v>11</v>
      </c>
      <c r="B29" s="15" t="s">
        <v>476</v>
      </c>
      <c r="C29" s="16">
        <v>6</v>
      </c>
      <c r="D29" s="17">
        <v>55.000000000000007</v>
      </c>
    </row>
    <row r="30" spans="1:4" ht="45" customHeight="1" x14ac:dyDescent="0.25">
      <c r="A30" s="19"/>
      <c r="B30" s="19"/>
      <c r="C30" s="16">
        <v>7</v>
      </c>
      <c r="D30" s="17">
        <v>45</v>
      </c>
    </row>
    <row r="31" spans="1:4" ht="45" customHeight="1" x14ac:dyDescent="0.25">
      <c r="A31" s="15">
        <v>12</v>
      </c>
      <c r="B31" s="15" t="s">
        <v>553</v>
      </c>
      <c r="C31" s="16">
        <v>7</v>
      </c>
      <c r="D31" s="17">
        <v>65</v>
      </c>
    </row>
    <row r="32" spans="1:4" ht="45" customHeight="1" x14ac:dyDescent="0.25">
      <c r="A32" s="19"/>
      <c r="B32" s="19"/>
      <c r="C32" s="16">
        <v>8</v>
      </c>
      <c r="D32" s="17">
        <v>35</v>
      </c>
    </row>
    <row r="33" spans="1:4" ht="45" customHeight="1" x14ac:dyDescent="0.25">
      <c r="A33" s="15">
        <v>13</v>
      </c>
      <c r="B33" s="15" t="s">
        <v>604</v>
      </c>
      <c r="C33" s="16">
        <v>3</v>
      </c>
      <c r="D33" s="17">
        <v>15</v>
      </c>
    </row>
    <row r="34" spans="1:4" ht="45" customHeight="1" x14ac:dyDescent="0.25">
      <c r="A34" s="18"/>
      <c r="B34" s="18"/>
      <c r="C34" s="16">
        <v>4</v>
      </c>
      <c r="D34" s="17">
        <v>45</v>
      </c>
    </row>
    <row r="35" spans="1:4" ht="45" customHeight="1" x14ac:dyDescent="0.25">
      <c r="A35" s="19"/>
      <c r="B35" s="19"/>
      <c r="C35" s="16">
        <v>5</v>
      </c>
      <c r="D35" s="17">
        <v>40</v>
      </c>
    </row>
    <row r="36" spans="1:4" ht="45" customHeight="1" x14ac:dyDescent="0.25">
      <c r="A36" s="16">
        <v>14</v>
      </c>
      <c r="B36" s="16" t="s">
        <v>765</v>
      </c>
      <c r="C36" s="16">
        <v>5</v>
      </c>
      <c r="D36" s="17">
        <v>100</v>
      </c>
    </row>
    <row r="37" spans="1:4" ht="45" customHeight="1" x14ac:dyDescent="0.25">
      <c r="A37" s="15">
        <v>15</v>
      </c>
      <c r="B37" s="15" t="s">
        <v>812</v>
      </c>
      <c r="C37" s="16">
        <v>5</v>
      </c>
      <c r="D37" s="17">
        <v>60</v>
      </c>
    </row>
    <row r="38" spans="1:4" ht="45" customHeight="1" x14ac:dyDescent="0.25">
      <c r="A38" s="19"/>
      <c r="B38" s="19"/>
      <c r="C38" s="16">
        <v>6</v>
      </c>
      <c r="D38" s="17">
        <v>40</v>
      </c>
    </row>
    <row r="39" spans="1:4" ht="45" customHeight="1" x14ac:dyDescent="0.25">
      <c r="A39" s="16">
        <v>16</v>
      </c>
      <c r="B39" s="16" t="s">
        <v>925</v>
      </c>
      <c r="C39" s="16">
        <v>9</v>
      </c>
      <c r="D39" s="17">
        <v>100</v>
      </c>
    </row>
    <row r="40" spans="1:4" ht="45" customHeight="1" x14ac:dyDescent="0.25">
      <c r="A40" s="16">
        <v>17</v>
      </c>
      <c r="B40" s="16" t="s">
        <v>1029</v>
      </c>
      <c r="C40" s="16">
        <v>9</v>
      </c>
      <c r="D40" s="17">
        <v>100</v>
      </c>
    </row>
    <row r="41" spans="1:4" ht="45" customHeight="1" x14ac:dyDescent="0.25">
      <c r="A41" s="15">
        <v>18</v>
      </c>
      <c r="B41" s="15" t="s">
        <v>1194</v>
      </c>
      <c r="C41" s="16">
        <v>3</v>
      </c>
      <c r="D41" s="17">
        <v>15</v>
      </c>
    </row>
    <row r="42" spans="1:4" ht="45" customHeight="1" x14ac:dyDescent="0.25">
      <c r="A42" s="18"/>
      <c r="B42" s="18"/>
      <c r="C42" s="16">
        <v>9</v>
      </c>
      <c r="D42" s="17">
        <v>35</v>
      </c>
    </row>
    <row r="43" spans="1:4" ht="45" customHeight="1" x14ac:dyDescent="0.25">
      <c r="A43" s="19"/>
      <c r="B43" s="19"/>
      <c r="C43" s="16">
        <v>10</v>
      </c>
      <c r="D43" s="17">
        <v>50</v>
      </c>
    </row>
    <row r="44" spans="1:4" ht="45" customHeight="1" x14ac:dyDescent="0.25">
      <c r="A44" s="16">
        <v>19</v>
      </c>
      <c r="B44" s="16" t="s">
        <v>1453</v>
      </c>
      <c r="C44" s="16">
        <v>10</v>
      </c>
      <c r="D44" s="17">
        <v>100</v>
      </c>
    </row>
    <row r="45" spans="1:4" ht="45" customHeight="1" x14ac:dyDescent="0.25">
      <c r="A45" s="16">
        <v>20</v>
      </c>
      <c r="B45" s="16" t="s">
        <v>1524</v>
      </c>
      <c r="C45" s="16">
        <v>11</v>
      </c>
      <c r="D45" s="17">
        <v>100</v>
      </c>
    </row>
    <row r="46" spans="1:4" ht="45" customHeight="1" x14ac:dyDescent="0.25">
      <c r="A46" s="16">
        <v>21</v>
      </c>
      <c r="B46" s="16" t="s">
        <v>1553</v>
      </c>
      <c r="C46" s="16">
        <v>11</v>
      </c>
      <c r="D46" s="17">
        <v>100</v>
      </c>
    </row>
    <row r="47" spans="1:4" ht="45" customHeight="1" x14ac:dyDescent="0.25">
      <c r="A47" s="16">
        <v>22</v>
      </c>
      <c r="B47" s="16" t="s">
        <v>1595</v>
      </c>
      <c r="C47" s="16">
        <v>11</v>
      </c>
      <c r="D47" s="17">
        <v>100</v>
      </c>
    </row>
    <row r="48" spans="1:4" ht="45" customHeight="1" x14ac:dyDescent="0.25">
      <c r="A48" s="16">
        <v>23</v>
      </c>
      <c r="B48" s="16" t="s">
        <v>1606</v>
      </c>
      <c r="C48" s="16">
        <v>11</v>
      </c>
      <c r="D48" s="17">
        <v>100</v>
      </c>
    </row>
    <row r="49" spans="1:4" ht="45" customHeight="1" x14ac:dyDescent="0.25">
      <c r="A49" s="15">
        <v>24</v>
      </c>
      <c r="B49" s="15" t="s">
        <v>1645</v>
      </c>
      <c r="C49" s="16">
        <v>11</v>
      </c>
      <c r="D49" s="17">
        <v>50</v>
      </c>
    </row>
    <row r="50" spans="1:4" ht="45" customHeight="1" x14ac:dyDescent="0.25">
      <c r="A50" s="19"/>
      <c r="B50" s="19"/>
      <c r="C50" s="16">
        <v>12</v>
      </c>
      <c r="D50" s="17">
        <v>50</v>
      </c>
    </row>
    <row r="51" spans="1:4" ht="45" customHeight="1" x14ac:dyDescent="0.25">
      <c r="A51" s="16">
        <v>25</v>
      </c>
      <c r="B51" s="16" t="s">
        <v>1677</v>
      </c>
      <c r="C51" s="16">
        <v>12</v>
      </c>
      <c r="D51" s="17">
        <v>100</v>
      </c>
    </row>
    <row r="52" spans="1:4" ht="45" customHeight="1" x14ac:dyDescent="0.25">
      <c r="A52" s="16">
        <v>26</v>
      </c>
      <c r="B52" s="16" t="s">
        <v>1726</v>
      </c>
      <c r="C52" s="16">
        <v>12</v>
      </c>
      <c r="D52" s="17">
        <v>100</v>
      </c>
    </row>
  </sheetData>
  <sheetProtection autoFilter="0"/>
  <mergeCells count="24">
    <mergeCell ref="A37:A38"/>
    <mergeCell ref="B37:B38"/>
    <mergeCell ref="A41:A43"/>
    <mergeCell ref="B41:B43"/>
    <mergeCell ref="A49:A50"/>
    <mergeCell ref="B49:B50"/>
    <mergeCell ref="A29:A30"/>
    <mergeCell ref="B29:B30"/>
    <mergeCell ref="A31:A32"/>
    <mergeCell ref="B31:B32"/>
    <mergeCell ref="A33:A35"/>
    <mergeCell ref="B33:B35"/>
    <mergeCell ref="A21:A22"/>
    <mergeCell ref="B21:B22"/>
    <mergeCell ref="A23:A24"/>
    <mergeCell ref="B23:B24"/>
    <mergeCell ref="A26:A28"/>
    <mergeCell ref="B26:B28"/>
    <mergeCell ref="A2:A13"/>
    <mergeCell ref="B2:B13"/>
    <mergeCell ref="A17:A18"/>
    <mergeCell ref="B17:B18"/>
    <mergeCell ref="A19:A20"/>
    <mergeCell ref="B19:B20"/>
  </mergeCells>
  <conditionalFormatting sqref="A2 C2:C52 A14:A17 A19 A21 A23 A25:A26 A29 A31 A33 A36:A37 A39:A41 A44:A49 A51:A52">
    <cfRule type="expression" dxfId="3" priority="4">
      <formula>OR(NOT(ISNUMBER(A2)),A2&lt;&gt;ROUND(A2,0),A2&lt;1,A2&gt;999)</formula>
    </cfRule>
  </conditionalFormatting>
  <conditionalFormatting sqref="B2 B14:B17 B19 B21 B23 B25:B26 B29 B31 B33 B36:B37 B39:B41 B44:B49 B51:B52">
    <cfRule type="expression" dxfId="2" priority="3">
      <formula>OR(B2="",LEN(B2)&gt;100)</formula>
    </cfRule>
  </conditionalFormatting>
  <conditionalFormatting sqref="D2:D52">
    <cfRule type="expression" dxfId="1" priority="2">
      <formula>$A2="Macrosserviço"</formula>
    </cfRule>
  </conditionalFormatting>
  <conditionalFormatting sqref="D2:D52">
    <cfRule type="expression" dxfId="0" priority="1">
      <formula>OR(NOT(ISNUMBER(D2)),D2&lt;&gt;ROUND(D2,2),D2&lt;=0,D2&gt;100)</formula>
    </cfRule>
  </conditionalFormatting>
  <pageMargins left="0.78740157480314998" right="0.78740157480314998" top="0.78740157480314998" bottom="0.78740157480314998" header="5.7086614173228396" footer="0.59055118110236204"/>
  <pageSetup paperSize="9" orientation="portrait" r:id="rId1"/>
  <headerFooter>
    <oddHeader>&amp;L_</oddHeader>
    <oddFooter>&amp;LPMv3.16&amp;R&amp;P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PO-BM</vt:lpstr>
      <vt:lpstr>CFF-BM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2026-05-07T14:13:17Z</dcterms:created>
  <dcterms:modified xsi:type="dcterms:W3CDTF">2026-05-07T14:13:17Z</dcterms:modified>
</cp:coreProperties>
</file>